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15480" windowHeight="11160" activeTab="2"/>
  </bookViews>
  <sheets>
    <sheet name="crono" sheetId="5" r:id="rId1"/>
    <sheet name="civil" sheetId="2" r:id="rId2"/>
    <sheet name="EQUIP SEM GER." sheetId="4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5"/>
  <c r="E61"/>
  <c r="F61"/>
  <c r="G61"/>
  <c r="H61"/>
  <c r="C61"/>
  <c r="D57"/>
  <c r="E57"/>
  <c r="F57"/>
  <c r="G57"/>
  <c r="H57"/>
  <c r="C57"/>
  <c r="C58" s="1"/>
  <c r="C51"/>
  <c r="D51"/>
  <c r="E51"/>
  <c r="F51"/>
  <c r="G51"/>
  <c r="H51"/>
  <c r="I30"/>
  <c r="I31"/>
  <c r="I32"/>
  <c r="I33"/>
  <c r="I34"/>
  <c r="I35"/>
  <c r="I36"/>
  <c r="I37"/>
  <c r="I38"/>
  <c r="I39"/>
  <c r="I29"/>
  <c r="I10"/>
  <c r="G62" l="1"/>
  <c r="G63" s="1"/>
  <c r="C62"/>
  <c r="C63" s="1"/>
  <c r="C59"/>
  <c r="E62"/>
  <c r="E63" s="1"/>
  <c r="D62"/>
  <c r="D63" s="1"/>
  <c r="H62"/>
  <c r="H63" s="1"/>
  <c r="F62"/>
  <c r="F63" s="1"/>
  <c r="H58"/>
  <c r="H59" s="1"/>
  <c r="H65" s="1"/>
  <c r="I15"/>
  <c r="I16"/>
  <c r="I17"/>
  <c r="I18"/>
  <c r="I19"/>
  <c r="I20"/>
  <c r="I21"/>
  <c r="I22"/>
  <c r="I23"/>
  <c r="I12"/>
  <c r="I25"/>
  <c r="I27"/>
  <c r="I41"/>
  <c r="I43"/>
  <c r="I45"/>
  <c r="I47"/>
  <c r="I49"/>
  <c r="J170" i="2"/>
  <c r="J168"/>
  <c r="I168"/>
  <c r="J164"/>
  <c r="J165"/>
  <c r="I164"/>
  <c r="I165"/>
  <c r="I167"/>
  <c r="I163"/>
  <c r="J160"/>
  <c r="J161"/>
  <c r="I160"/>
  <c r="I161"/>
  <c r="I159"/>
  <c r="J151"/>
  <c r="J152"/>
  <c r="J153"/>
  <c r="J154"/>
  <c r="J155"/>
  <c r="J156"/>
  <c r="J157"/>
  <c r="I151"/>
  <c r="I152"/>
  <c r="I153"/>
  <c r="I154"/>
  <c r="I155"/>
  <c r="I156"/>
  <c r="I157"/>
  <c r="I150"/>
  <c r="J148"/>
  <c r="I148"/>
  <c r="I147"/>
  <c r="J167"/>
  <c r="J166" s="1"/>
  <c r="J163"/>
  <c r="J162" s="1"/>
  <c r="J159"/>
  <c r="J158" s="1"/>
  <c r="J150"/>
  <c r="J149" s="1"/>
  <c r="J147"/>
  <c r="J146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83"/>
  <c r="J85"/>
  <c r="J82"/>
  <c r="J84"/>
  <c r="J81"/>
  <c r="J79"/>
  <c r="J80"/>
  <c r="J78"/>
  <c r="J77"/>
  <c r="K78"/>
  <c r="K79"/>
  <c r="K80"/>
  <c r="K82"/>
  <c r="K81" s="1"/>
  <c r="K83"/>
  <c r="K85"/>
  <c r="K84" s="1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7"/>
  <c r="K146" s="1"/>
  <c r="K148"/>
  <c r="K150"/>
  <c r="K151"/>
  <c r="K152"/>
  <c r="K153"/>
  <c r="K154"/>
  <c r="K155"/>
  <c r="K156"/>
  <c r="K157"/>
  <c r="K161"/>
  <c r="K158" s="1"/>
  <c r="K163"/>
  <c r="K162" s="1"/>
  <c r="K164"/>
  <c r="K165"/>
  <c r="K167"/>
  <c r="K166" s="1"/>
  <c r="J73"/>
  <c r="J74"/>
  <c r="J75"/>
  <c r="J76"/>
  <c r="J71"/>
  <c r="J72"/>
  <c r="J68"/>
  <c r="J69"/>
  <c r="J70"/>
  <c r="J67"/>
  <c r="J63"/>
  <c r="J64"/>
  <c r="J65"/>
  <c r="J66"/>
  <c r="K13"/>
  <c r="K17"/>
  <c r="K16" s="1"/>
  <c r="K21"/>
  <c r="K30"/>
  <c r="K33"/>
  <c r="K34"/>
  <c r="K43"/>
  <c r="K46"/>
  <c r="K47"/>
  <c r="K56"/>
  <c r="K59"/>
  <c r="K60"/>
  <c r="K62"/>
  <c r="K68"/>
  <c r="I143"/>
  <c r="I14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9"/>
  <c r="I120"/>
  <c r="I121"/>
  <c r="I122"/>
  <c r="I123"/>
  <c r="I124"/>
  <c r="I125"/>
  <c r="I126"/>
  <c r="I127"/>
  <c r="I128"/>
  <c r="I129"/>
  <c r="I130"/>
  <c r="I131"/>
  <c r="I92"/>
  <c r="I86"/>
  <c r="I83"/>
  <c r="I79"/>
  <c r="I78"/>
  <c r="I68"/>
  <c r="I62"/>
  <c r="J62" s="1"/>
  <c r="I60"/>
  <c r="J60" s="1"/>
  <c r="I59"/>
  <c r="J59" s="1"/>
  <c r="I56"/>
  <c r="J56" s="1"/>
  <c r="I46"/>
  <c r="J46" s="1"/>
  <c r="I47"/>
  <c r="J47" s="1"/>
  <c r="I43"/>
  <c r="J43" s="1"/>
  <c r="I33"/>
  <c r="J33" s="1"/>
  <c r="I34"/>
  <c r="J34" s="1"/>
  <c r="I30"/>
  <c r="J30" s="1"/>
  <c r="I21"/>
  <c r="J21" s="1"/>
  <c r="I17"/>
  <c r="J17" s="1"/>
  <c r="J16" s="1"/>
  <c r="I14"/>
  <c r="J14" s="1"/>
  <c r="I15"/>
  <c r="J15" s="1"/>
  <c r="I13"/>
  <c r="J13" s="1"/>
  <c r="J12" s="1"/>
  <c r="G167" i="4"/>
  <c r="H167"/>
  <c r="H166" s="1"/>
  <c r="G165"/>
  <c r="H165"/>
  <c r="G164"/>
  <c r="H164" s="1"/>
  <c r="G163"/>
  <c r="H163"/>
  <c r="H162" s="1"/>
  <c r="G161"/>
  <c r="H161" s="1"/>
  <c r="H158" s="1"/>
  <c r="G157"/>
  <c r="H157"/>
  <c r="G156"/>
  <c r="H156"/>
  <c r="G155"/>
  <c r="H155"/>
  <c r="G154"/>
  <c r="H154"/>
  <c r="G153"/>
  <c r="H153"/>
  <c r="G152"/>
  <c r="H152" s="1"/>
  <c r="G151"/>
  <c r="H151" s="1"/>
  <c r="G150"/>
  <c r="H150" s="1"/>
  <c r="H149" s="1"/>
  <c r="H148"/>
  <c r="G147"/>
  <c r="H147"/>
  <c r="H146" s="1"/>
  <c r="G145"/>
  <c r="H145" s="1"/>
  <c r="G144"/>
  <c r="H144" s="1"/>
  <c r="H143"/>
  <c r="H142"/>
  <c r="G141"/>
  <c r="H141" s="1"/>
  <c r="G140"/>
  <c r="H140" s="1"/>
  <c r="G139"/>
  <c r="H139" s="1"/>
  <c r="G138"/>
  <c r="H138" s="1"/>
  <c r="G137"/>
  <c r="H137" s="1"/>
  <c r="G136"/>
  <c r="H136" s="1"/>
  <c r="G135"/>
  <c r="H135" s="1"/>
  <c r="G134"/>
  <c r="H134" s="1"/>
  <c r="G133"/>
  <c r="H133" s="1"/>
  <c r="G132"/>
  <c r="H132" s="1"/>
  <c r="H131"/>
  <c r="H130"/>
  <c r="H129"/>
  <c r="H128"/>
  <c r="H127"/>
  <c r="H126"/>
  <c r="H125"/>
  <c r="H124"/>
  <c r="H123"/>
  <c r="H122"/>
  <c r="H121"/>
  <c r="H120"/>
  <c r="H119"/>
  <c r="G118"/>
  <c r="H118" s="1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G91"/>
  <c r="H91" s="1"/>
  <c r="G90"/>
  <c r="H90" s="1"/>
  <c r="G89"/>
  <c r="H89" s="1"/>
  <c r="G88"/>
  <c r="H88" s="1"/>
  <c r="G87"/>
  <c r="H87" s="1"/>
  <c r="H86"/>
  <c r="G85"/>
  <c r="H85" s="1"/>
  <c r="H84" s="1"/>
  <c r="H168" s="1"/>
  <c r="H169" s="1"/>
  <c r="H83"/>
  <c r="G82"/>
  <c r="H82" s="1"/>
  <c r="H81" s="1"/>
  <c r="G80"/>
  <c r="H80" s="1"/>
  <c r="H79"/>
  <c r="H78"/>
  <c r="G76"/>
  <c r="H76" s="1"/>
  <c r="G75"/>
  <c r="H75" s="1"/>
  <c r="G74"/>
  <c r="H74" s="1"/>
  <c r="G73"/>
  <c r="H73" s="1"/>
  <c r="G72"/>
  <c r="H72" s="1"/>
  <c r="H71" s="1"/>
  <c r="G70"/>
  <c r="H70" s="1"/>
  <c r="G69"/>
  <c r="H69" s="1"/>
  <c r="H68"/>
  <c r="G67"/>
  <c r="H67" s="1"/>
  <c r="H66" s="1"/>
  <c r="G65"/>
  <c r="H65" s="1"/>
  <c r="G64"/>
  <c r="H64" s="1"/>
  <c r="G63"/>
  <c r="H63" s="1"/>
  <c r="H62"/>
  <c r="H60"/>
  <c r="H59"/>
  <c r="G58"/>
  <c r="H58" s="1"/>
  <c r="G57"/>
  <c r="H57" s="1"/>
  <c r="H56"/>
  <c r="G54"/>
  <c r="H54" s="1"/>
  <c r="G53"/>
  <c r="H53" s="1"/>
  <c r="G52"/>
  <c r="H52" s="1"/>
  <c r="G51"/>
  <c r="H51" s="1"/>
  <c r="G50"/>
  <c r="H50" s="1"/>
  <c r="G49"/>
  <c r="H49" s="1"/>
  <c r="H48" s="1"/>
  <c r="H47"/>
  <c r="H46"/>
  <c r="G45"/>
  <c r="H45" s="1"/>
  <c r="G44"/>
  <c r="H44" s="1"/>
  <c r="H43"/>
  <c r="G41"/>
  <c r="H41" s="1"/>
  <c r="G40"/>
  <c r="H40" s="1"/>
  <c r="G39"/>
  <c r="H39" s="1"/>
  <c r="G38"/>
  <c r="H38" s="1"/>
  <c r="G37"/>
  <c r="H37" s="1"/>
  <c r="G36"/>
  <c r="H36" s="1"/>
  <c r="H35" s="1"/>
  <c r="H34"/>
  <c r="H33"/>
  <c r="G32"/>
  <c r="H32" s="1"/>
  <c r="G31"/>
  <c r="H31" s="1"/>
  <c r="H30"/>
  <c r="G28"/>
  <c r="H28" s="1"/>
  <c r="G27"/>
  <c r="H27" s="1"/>
  <c r="G26"/>
  <c r="H26" s="1"/>
  <c r="G25"/>
  <c r="H25" s="1"/>
  <c r="G24"/>
  <c r="H24" s="1"/>
  <c r="G23"/>
  <c r="H23" s="1"/>
  <c r="G22"/>
  <c r="H22" s="1"/>
  <c r="H21"/>
  <c r="G20"/>
  <c r="H20" s="1"/>
  <c r="H17"/>
  <c r="H16"/>
  <c r="H15"/>
  <c r="H13"/>
  <c r="H167" i="2"/>
  <c r="H165"/>
  <c r="G165"/>
  <c r="H164"/>
  <c r="H163"/>
  <c r="G163"/>
  <c r="H161"/>
  <c r="H157"/>
  <c r="G157"/>
  <c r="H156"/>
  <c r="G156"/>
  <c r="H155"/>
  <c r="G155"/>
  <c r="H154"/>
  <c r="G154"/>
  <c r="H153"/>
  <c r="G153"/>
  <c r="H152"/>
  <c r="H151"/>
  <c r="H150"/>
  <c r="H147"/>
  <c r="G147"/>
  <c r="H145"/>
  <c r="H144"/>
  <c r="H141"/>
  <c r="H140"/>
  <c r="H139"/>
  <c r="H138"/>
  <c r="H137"/>
  <c r="H136"/>
  <c r="H135"/>
  <c r="H134"/>
  <c r="H133"/>
  <c r="H132"/>
  <c r="H118"/>
  <c r="H91"/>
  <c r="H90"/>
  <c r="H89"/>
  <c r="H88"/>
  <c r="H87"/>
  <c r="H85"/>
  <c r="H82"/>
  <c r="H80"/>
  <c r="H76"/>
  <c r="K76" s="1"/>
  <c r="H75"/>
  <c r="K75" s="1"/>
  <c r="H74"/>
  <c r="K74" s="1"/>
  <c r="H73"/>
  <c r="K73" s="1"/>
  <c r="H72"/>
  <c r="K72" s="1"/>
  <c r="K71" s="1"/>
  <c r="H70"/>
  <c r="K70" s="1"/>
  <c r="H69"/>
  <c r="K69" s="1"/>
  <c r="H67"/>
  <c r="K67" s="1"/>
  <c r="K66" s="1"/>
  <c r="H65"/>
  <c r="K65" s="1"/>
  <c r="H64"/>
  <c r="K64" s="1"/>
  <c r="H63"/>
  <c r="K63" s="1"/>
  <c r="H58"/>
  <c r="K58" s="1"/>
  <c r="H57"/>
  <c r="K57" s="1"/>
  <c r="H54"/>
  <c r="K54" s="1"/>
  <c r="H53"/>
  <c r="K53" s="1"/>
  <c r="H52"/>
  <c r="K52" s="1"/>
  <c r="H51"/>
  <c r="K51" s="1"/>
  <c r="H50"/>
  <c r="K50" s="1"/>
  <c r="H49"/>
  <c r="K49" s="1"/>
  <c r="K48" s="1"/>
  <c r="H45"/>
  <c r="K45" s="1"/>
  <c r="H44"/>
  <c r="K44" s="1"/>
  <c r="H41"/>
  <c r="K41" s="1"/>
  <c r="H40"/>
  <c r="K40" s="1"/>
  <c r="H39"/>
  <c r="K39" s="1"/>
  <c r="H38"/>
  <c r="K38" s="1"/>
  <c r="H37"/>
  <c r="K37" s="1"/>
  <c r="H36"/>
  <c r="K36" s="1"/>
  <c r="K35" s="1"/>
  <c r="H32"/>
  <c r="K32" s="1"/>
  <c r="H31"/>
  <c r="K31" s="1"/>
  <c r="H28"/>
  <c r="K28" s="1"/>
  <c r="H27"/>
  <c r="K27" s="1"/>
  <c r="H26"/>
  <c r="K26" s="1"/>
  <c r="H25"/>
  <c r="K25" s="1"/>
  <c r="H24"/>
  <c r="K24" s="1"/>
  <c r="H23"/>
  <c r="K23" s="1"/>
  <c r="H22"/>
  <c r="K22" s="1"/>
  <c r="H20"/>
  <c r="K20" s="1"/>
  <c r="K19" s="1"/>
  <c r="K15"/>
  <c r="K12" s="1"/>
  <c r="C65" i="5" l="1"/>
  <c r="I63"/>
  <c r="G58"/>
  <c r="G59" s="1"/>
  <c r="G65" s="1"/>
  <c r="D58"/>
  <c r="D59" s="1"/>
  <c r="I51"/>
  <c r="F58"/>
  <c r="F59" s="1"/>
  <c r="E58"/>
  <c r="E59" s="1"/>
  <c r="E65" s="1"/>
  <c r="K149" i="2"/>
  <c r="J169"/>
  <c r="K61"/>
  <c r="I20"/>
  <c r="J20" s="1"/>
  <c r="I22"/>
  <c r="J22" s="1"/>
  <c r="I23"/>
  <c r="J23" s="1"/>
  <c r="I24"/>
  <c r="J24" s="1"/>
  <c r="I25"/>
  <c r="J25" s="1"/>
  <c r="I26"/>
  <c r="J26" s="1"/>
  <c r="I27"/>
  <c r="J27" s="1"/>
  <c r="I28"/>
  <c r="J28" s="1"/>
  <c r="I32"/>
  <c r="J32" s="1"/>
  <c r="I31"/>
  <c r="J31" s="1"/>
  <c r="J29" s="1"/>
  <c r="I36"/>
  <c r="J36" s="1"/>
  <c r="I41"/>
  <c r="J41" s="1"/>
  <c r="I40"/>
  <c r="J40" s="1"/>
  <c r="I39"/>
  <c r="J39" s="1"/>
  <c r="I38"/>
  <c r="J38" s="1"/>
  <c r="I37"/>
  <c r="J37" s="1"/>
  <c r="I45"/>
  <c r="J45" s="1"/>
  <c r="I44"/>
  <c r="J44" s="1"/>
  <c r="J42" s="1"/>
  <c r="I49"/>
  <c r="J49" s="1"/>
  <c r="I54"/>
  <c r="J54" s="1"/>
  <c r="I53"/>
  <c r="J53" s="1"/>
  <c r="I52"/>
  <c r="J52" s="1"/>
  <c r="I51"/>
  <c r="J51" s="1"/>
  <c r="I50"/>
  <c r="J50" s="1"/>
  <c r="I58"/>
  <c r="J58" s="1"/>
  <c r="I57"/>
  <c r="J57" s="1"/>
  <c r="J55" s="1"/>
  <c r="I65"/>
  <c r="I64"/>
  <c r="I63"/>
  <c r="J61" s="1"/>
  <c r="I67"/>
  <c r="I70"/>
  <c r="I69"/>
  <c r="I72"/>
  <c r="I76"/>
  <c r="I75"/>
  <c r="I74"/>
  <c r="I73"/>
  <c r="I82"/>
  <c r="I80"/>
  <c r="I85"/>
  <c r="I91"/>
  <c r="I90"/>
  <c r="I89"/>
  <c r="I88"/>
  <c r="I87"/>
  <c r="I118"/>
  <c r="I132"/>
  <c r="I141"/>
  <c r="I140"/>
  <c r="I139"/>
  <c r="I138"/>
  <c r="I137"/>
  <c r="I136"/>
  <c r="I135"/>
  <c r="I134"/>
  <c r="I133"/>
  <c r="I145"/>
  <c r="I144"/>
  <c r="K77"/>
  <c r="K169" s="1"/>
  <c r="K55"/>
  <c r="K42"/>
  <c r="K29"/>
  <c r="K18"/>
  <c r="H170" i="4"/>
  <c r="H77"/>
  <c r="H61"/>
  <c r="H55"/>
  <c r="H42"/>
  <c r="H29"/>
  <c r="H12"/>
  <c r="C52" i="5"/>
  <c r="D52" s="1"/>
  <c r="E52" s="1"/>
  <c r="F52" s="1"/>
  <c r="G52" s="1"/>
  <c r="H52" s="1"/>
  <c r="I59" l="1"/>
  <c r="D65"/>
  <c r="F65"/>
  <c r="I65" s="1"/>
  <c r="H53"/>
  <c r="C53"/>
  <c r="G53"/>
  <c r="F53"/>
  <c r="E53"/>
  <c r="D53"/>
  <c r="J171" i="2"/>
  <c r="K170"/>
  <c r="K171"/>
  <c r="J48"/>
  <c r="J35"/>
  <c r="J19"/>
  <c r="J18" s="1"/>
  <c r="H175"/>
  <c r="C54" i="5"/>
  <c r="D54" l="1"/>
  <c r="E54" s="1"/>
  <c r="F54" s="1"/>
  <c r="G54" s="1"/>
  <c r="H54" s="1"/>
</calcChain>
</file>

<file path=xl/comments1.xml><?xml version="1.0" encoding="utf-8"?>
<comments xmlns="http://schemas.openxmlformats.org/spreadsheetml/2006/main">
  <authors>
    <author>Luiza</author>
  </authors>
  <commentList>
    <comment ref="D17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sapata</t>
        </r>
      </text>
    </comment>
    <comment ref="D27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2 fiadas</t>
        </r>
      </text>
    </comment>
    <comment ref="D28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2 fiadas</t>
        </r>
      </text>
    </comment>
    <comment ref="D32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SEM COLOCAÇÃO</t>
        </r>
      </text>
    </comment>
    <comment ref="D36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7 fiadas</t>
        </r>
      </text>
    </comment>
    <comment ref="D37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7 fiadas</t>
        </r>
      </text>
    </comment>
    <comment ref="D45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SEM COLOCAÇÃO</t>
        </r>
      </text>
    </comment>
    <comment ref="D49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2 fiadas</t>
        </r>
      </text>
    </comment>
    <comment ref="D50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2 fiadas</t>
        </r>
      </text>
    </comment>
    <comment ref="D58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SEM COLOCAÇÃO</t>
        </r>
      </text>
    </comment>
    <comment ref="D72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5 fiadas</t>
        </r>
      </text>
    </comment>
    <comment ref="D73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5 fiadas</t>
        </r>
      </text>
    </comment>
    <comment ref="C83" authorId="0">
      <text>
        <r>
          <rPr>
            <b/>
            <sz val="9"/>
            <color indexed="81"/>
            <rFont val="Segoe UI"/>
            <charset val="1"/>
          </rPr>
          <t>Luiza:</t>
        </r>
        <r>
          <rPr>
            <sz val="9"/>
            <color indexed="81"/>
            <rFont val="Segoe UI"/>
            <charset val="1"/>
          </rPr>
          <t xml:space="preserve">
06.200.0092-0</t>
        </r>
      </text>
    </comment>
    <comment ref="C86" authorId="0">
      <text>
        <r>
          <rPr>
            <b/>
            <sz val="9"/>
            <color indexed="81"/>
            <rFont val="Segoe UI"/>
            <charset val="1"/>
          </rPr>
          <t>Luiza:</t>
        </r>
        <r>
          <rPr>
            <sz val="9"/>
            <color indexed="81"/>
            <rFont val="Segoe UI"/>
            <charset val="1"/>
          </rPr>
          <t xml:space="preserve">
15.009.0143-0</t>
        </r>
      </text>
    </comment>
    <comment ref="D118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CAIXA DE PASSAGEM 15X15X10</t>
        </r>
      </text>
    </comment>
    <comment ref="D150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pintura interna e externa
</t>
        </r>
      </text>
    </comment>
    <comment ref="D151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pintura externa</t>
        </r>
      </text>
    </comment>
    <comment ref="D152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pintura interna</t>
        </r>
      </text>
    </comment>
  </commentList>
</comments>
</file>

<file path=xl/comments2.xml><?xml version="1.0" encoding="utf-8"?>
<comments xmlns="http://schemas.openxmlformats.org/spreadsheetml/2006/main">
  <authors>
    <author>Luiza</author>
  </authors>
  <commentList>
    <comment ref="D17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sapata</t>
        </r>
      </text>
    </comment>
    <comment ref="D27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2 fiadas</t>
        </r>
      </text>
    </comment>
    <comment ref="D28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2 fiadas</t>
        </r>
      </text>
    </comment>
    <comment ref="D32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SEM COLOCAÇÃO</t>
        </r>
      </text>
    </comment>
    <comment ref="D36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7 fiadas</t>
        </r>
      </text>
    </comment>
    <comment ref="D37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7 fiadas</t>
        </r>
      </text>
    </comment>
    <comment ref="D45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SEM COLOCAÇÃO</t>
        </r>
      </text>
    </comment>
    <comment ref="D49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2 fiadas</t>
        </r>
      </text>
    </comment>
    <comment ref="D50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2 fiadas</t>
        </r>
      </text>
    </comment>
    <comment ref="D58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SEM COLOCAÇÃO</t>
        </r>
      </text>
    </comment>
    <comment ref="D72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5 fiadas</t>
        </r>
      </text>
    </comment>
    <comment ref="D73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5 fiadas</t>
        </r>
      </text>
    </comment>
    <comment ref="C83" authorId="0">
      <text>
        <r>
          <rPr>
            <b/>
            <sz val="9"/>
            <color indexed="81"/>
            <rFont val="Segoe UI"/>
            <charset val="1"/>
          </rPr>
          <t>Luiza:</t>
        </r>
        <r>
          <rPr>
            <sz val="9"/>
            <color indexed="81"/>
            <rFont val="Segoe UI"/>
            <charset val="1"/>
          </rPr>
          <t xml:space="preserve">
06.200.0092-0</t>
        </r>
      </text>
    </comment>
    <comment ref="C86" authorId="0">
      <text>
        <r>
          <rPr>
            <b/>
            <sz val="9"/>
            <color indexed="81"/>
            <rFont val="Segoe UI"/>
            <charset val="1"/>
          </rPr>
          <t>Luiza:</t>
        </r>
        <r>
          <rPr>
            <sz val="9"/>
            <color indexed="81"/>
            <rFont val="Segoe UI"/>
            <charset val="1"/>
          </rPr>
          <t xml:space="preserve">
15.009.0143-0</t>
        </r>
      </text>
    </comment>
    <comment ref="D118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CAIXA DE PASSAGEM 15X15X10</t>
        </r>
      </text>
    </comment>
    <comment ref="D150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pintura interna e externa
</t>
        </r>
      </text>
    </comment>
    <comment ref="D151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pintura externa</t>
        </r>
      </text>
    </comment>
    <comment ref="D152" authorId="0">
      <text>
        <r>
          <rPr>
            <b/>
            <sz val="9"/>
            <color indexed="81"/>
            <rFont val="Segoe UI"/>
            <family val="2"/>
          </rPr>
          <t>Luiza:</t>
        </r>
        <r>
          <rPr>
            <sz val="9"/>
            <color indexed="81"/>
            <rFont val="Segoe UI"/>
            <family val="2"/>
          </rPr>
          <t xml:space="preserve">
pintura interna</t>
        </r>
      </text>
    </comment>
  </commentList>
</comments>
</file>

<file path=xl/sharedStrings.xml><?xml version="1.0" encoding="utf-8"?>
<sst xmlns="http://schemas.openxmlformats.org/spreadsheetml/2006/main" count="1357" uniqueCount="466">
  <si>
    <t>ITEM</t>
  </si>
  <si>
    <t>DESCRIÇÃO</t>
  </si>
  <si>
    <t>UNID.</t>
  </si>
  <si>
    <t>01.0</t>
  </si>
  <si>
    <t>01.050.500-0</t>
  </si>
  <si>
    <t>UR</t>
  </si>
  <si>
    <t>UNIDADE DE REF. P/SERV. DE PROJ. E CONSULTORIA (Instalação elétricas)</t>
  </si>
  <si>
    <t>M2</t>
  </si>
  <si>
    <t>UN</t>
  </si>
  <si>
    <t>02.001.003-0</t>
  </si>
  <si>
    <t>TAPUME DE VEDACAO OU PROT., EM CHAPAS DE MAD. COMP. C/ 12MM DE ESP., UTILIZADA 10 VEZES, EXCL PINT.</t>
  </si>
  <si>
    <t>02.0</t>
  </si>
  <si>
    <t>DEMOLIÇÕES E ESCAVAÇÕES</t>
  </si>
  <si>
    <t>M3</t>
  </si>
  <si>
    <t>ESCAVACAO MANUAL DE VAL/CAVA EM MAT. DER 1:CAT., AREA, ARGILA OU PICARRA, ENTRE 1,50 E 3,00M DE PROF.</t>
  </si>
  <si>
    <t>03.0</t>
  </si>
  <si>
    <t>FORMA DE MAD. P/MOLDAGEM E PECAS DE CONCR. ARMADO C/PARAMENTOS PLANOS, SERVINDO A MAD. 3 VEZES, EM TABUAS DE PINHO DE 3;</t>
  </si>
  <si>
    <t>KG</t>
  </si>
  <si>
    <t>01.001.147-0</t>
  </si>
  <si>
    <t>MOLDAGEM E COLETA DE CORPO-DE-PROVA DE CONCR., EXECUTADO P/FIRMA ESPECIALIZADA, INCL. TRANSP. ATE 50KM</t>
  </si>
  <si>
    <t>01.001.123-0</t>
  </si>
  <si>
    <t>RESTENCIA A COMPRESSAO DE CORPO-DE-PROVA CILINDRICO DE 15 X 30CM, P/CORPO-DE-PROVA</t>
  </si>
  <si>
    <t>M</t>
  </si>
  <si>
    <t>04.0</t>
  </si>
  <si>
    <t>EMBOCO INT., C/ARG., DE CIM. E SAIBRO 1:4, ESP. 2,5CM, INCL. CHAPISCO</t>
  </si>
  <si>
    <t>REBOCO EXT. OU INT., C/ARG. DE CIM., CAL E AREA 1:3:5, ESP. EMM, APLIC. SOBRE EMBOCO EXIST., EXCL. EMBOC</t>
  </si>
  <si>
    <t>05.0</t>
  </si>
  <si>
    <t>06.0</t>
  </si>
  <si>
    <t>07.0</t>
  </si>
  <si>
    <t>ESQUADRIAS, VIDROS E FERRAGENS</t>
  </si>
  <si>
    <t>08.0</t>
  </si>
  <si>
    <t>PINTURA</t>
  </si>
  <si>
    <t>09.0</t>
  </si>
  <si>
    <t>COBERTURA</t>
  </si>
  <si>
    <t>10.0</t>
  </si>
  <si>
    <t>CAPTAÇÃO DE ÁGUAS PLUVIAS</t>
  </si>
  <si>
    <t>11.0</t>
  </si>
  <si>
    <t>SERVIÇOS COMPLEMENTARES</t>
  </si>
  <si>
    <t>SUBTOTAL</t>
  </si>
  <si>
    <t>SERVIÇOS INICIAS</t>
  </si>
  <si>
    <t>TOTAL (COM BDI)</t>
  </si>
  <si>
    <t>QUANT. NECESSÁRIA</t>
  </si>
  <si>
    <t>CÓDIGO ATUALIZADO (03/19)</t>
  </si>
  <si>
    <t>INSTALAÇÕES HIDROSSANITÁRIAS</t>
  </si>
  <si>
    <t>12.005.0165-0</t>
  </si>
  <si>
    <t>ALVENARIA DE BLOCOS DE CONCRETO ESTRUTURAL 15X20X40CM,ASSENTES COM ARGAMASSA DE CIMENTO E AREIA,NO TRACO 1:8,EM PAREDES DE 0,15M DE ESPESSURA,COM VAOS OU ARESTAS,ATE 3,00M DE ALTURA E MEDIDA PELA AREA REAL</t>
  </si>
  <si>
    <t xml:space="preserve">            </t>
  </si>
  <si>
    <t xml:space="preserve">             </t>
  </si>
  <si>
    <t xml:space="preserve">11.009.0014-1 </t>
  </si>
  <si>
    <t>BARRA DE ACO CA-50,COM SALIENCIA OU MOSSA,COEFICIENTE DE CONFORMACAO SUPERFICIAL MINIMO (ADERENCIA) IGUAL A 1,5,DIAMETRO DE 8 A 12,5MM,DESTINADA A ARMADURA DE CONCRETO ARMADO,10%DE PERDAS DE PONTAS E ARAME 18.FORNECIMENTO</t>
  </si>
  <si>
    <t>BARRA DE ACO CA-50,COM SALIENCIA OU MOSSA,COEFICIENTE DE CONFORMACAO SUPERFICIAL MINIMO (ADERENCIA) IGUAL A 1,5,DIAMETRO DE 6,3MM,DESTINADA A ARMADURA DE CONCRETO ARMADO,10% DE PERDAS DE PONTAS E ARAME 18.FORNECIMENTO</t>
  </si>
  <si>
    <t>11.009.0013-0</t>
  </si>
  <si>
    <t>11.011.0030-1</t>
  </si>
  <si>
    <t>11.011.0029-0</t>
  </si>
  <si>
    <t>CONCRETO BOMBEADO,FCK=25MPA,COMPREENDENDO O FORNECIMENTO DE CONCRETO IMPORTADO DE USINA,COLOCACAO NAS FORMAS,ESPALHAMENTO, ADENSAMENTO MECANICO E ACABAMENTO</t>
  </si>
  <si>
    <t>11.025.0009-0</t>
  </si>
  <si>
    <t>ALVENARIA, DIVISÓRIAS E REVESTIMENTOS</t>
  </si>
  <si>
    <t>TUBO DE FERRO FUNDIDO,CENTRIFUGADO,DUCTIL,PARA CANALIZACOES SOB PRESSAO OU GRAVITARIO,NORMA ABNT NBR 15.420,PONTA/BOLSA, COM JUNTA ELASTICA, REVESTIDO INTERNAMENTE COM ARGAMASSA DECIMENTO ALUMINOSO,APLICACAO ESGOTO,REVESTIDO EXTERNAMENTE COM ZINCO METALICO,INCLUSIVE ANEL DE BORRACHA NITRILICO,DIAMETRO DE 100MM. FORNECIMENTO</t>
  </si>
  <si>
    <t>CABO SOLIDO DE COBRE ELETROLITICO NU,TEMPERA MOLE,CLASSE 2,SECAO CIRCULAR DE 50MM2.FORNECIMENTO E COLOCACAO</t>
  </si>
  <si>
    <t>17.040.0050-0</t>
  </si>
  <si>
    <t>PINTURA DE SINALIZACAO PARA EXTINTORES DE INCENDIO,EM QUADRADOS VERMELHOS DE 0,70M X 0,70M E BORDAS AMARELAS DE 0,15M DE LARGURA, CONFORME PROJETO EMOP 2547(HIDRAULICA/SANITARIA/INCENDIO)</t>
  </si>
  <si>
    <t>15.007.0209-0</t>
  </si>
  <si>
    <t>HASTE PARA ATERRAMENTO,DE COBRE DE 5/8"(16MM),COM 2,40M DE COMPRIMENTO.FORNECIMENTO E COLOCACAO</t>
  </si>
  <si>
    <t>18.032.0015-0</t>
  </si>
  <si>
    <t>EXTINTOR DE INCENDIO,TIPO GAS CARBONICO(CO2),DE 6KG,COMPLETO.FORNECIMENTO E COLOCACAO</t>
  </si>
  <si>
    <t>TANQUE DE COLETA DO ÓLEO DOS TRANSFORMADORES E DISJUNTOR</t>
  </si>
  <si>
    <t>15.004.0181-0</t>
  </si>
  <si>
    <t>RALO SIFONADO DE PVC(100X100)X50MM,EM PAVIMENTO TERREO,COM TAMPA CEGA,COM 1 ENTRADA DE 40MM E SAIDA DE 50MM,INCLUSIVE LIGACAO DE 50MM DE PVC ATE A CAIXA DE INSPECAO,CONSIDERANDO ADISTANCIA DO CENTRO DO RALO ATE 2,00M.FORNECIMENTO E INSTALACAO</t>
  </si>
  <si>
    <t>15.015.0250-0</t>
  </si>
  <si>
    <t>INSTALACAO DE PONTO DE TOMADA,EMBUTIDO NA ALVENARIA,EQUIVALENTE A 2 VARAS DE ELETRODUTO DE PVC RIGIDO DE 3/4",18,00M DE FIO 2,5MM2,CAIXAS,CONEXOES E TOMADA DE EMBUTIR,2P+T,10A,PADRAO BRASILEIRO,COM PLACA FOSFORESCENTE,INCLUSIVE ABERTURA E FECHAMENTO DE RASGO EM ALVENARIA</t>
  </si>
  <si>
    <t>INSTALAÇÕES ELÉTRICAS E INCÊNDIO</t>
  </si>
  <si>
    <t>15.019.0020-0</t>
  </si>
  <si>
    <t>INTERRUPTOR DE EMBUTIR COM 1 TECLA SIMPLES FOSFORESCENTE E PLACA.FORNECIMENTO E COLOCACAO</t>
  </si>
  <si>
    <t>15.018.0120-0</t>
  </si>
  <si>
    <t>CAIXA DE EMBUTIR,EM PVC,2"X4",INCLUSIVE BUCHAS E ARRUELAS.FORNECIMENTO E COLOCACAO</t>
  </si>
  <si>
    <t>18.027.0445-0</t>
  </si>
  <si>
    <t>ARANDELA,DE PAREDE,COM RECEPTACULO (EXCLUSIVE LAMPADA), REFLETOR EM MATERIAL ANTIFERRUGEM E BRACO DE ALUMINIO ANODIZADO COM BASE PARA FIXACAO.FORNECIMENTO E COLOCACAO</t>
  </si>
  <si>
    <t>15.020.0168-0</t>
  </si>
  <si>
    <t>LAMPADA LED,BULBO,PAR 38,16W,120/220V,BASE E-27.FORNECIMENTO E COLOCACAO</t>
  </si>
  <si>
    <t>SAPATA CORRIDA</t>
  </si>
  <si>
    <t>03.1.1</t>
  </si>
  <si>
    <t>03.1</t>
  </si>
  <si>
    <t>03.1.2</t>
  </si>
  <si>
    <t>03.1.3</t>
  </si>
  <si>
    <t>03.1.4</t>
  </si>
  <si>
    <t>03.1.5</t>
  </si>
  <si>
    <t>03.1.6</t>
  </si>
  <si>
    <t>REATERRO DE VALA/CAVA COM PO-DE-PEDRA,INCLUSIVE FORNECIMENTO DO MATERIAL E COMPACTACAO MANUAL</t>
  </si>
  <si>
    <t>03.015.0010-0</t>
  </si>
  <si>
    <t>02.1</t>
  </si>
  <si>
    <t>03.001.0002-1</t>
  </si>
  <si>
    <t>03.1.7</t>
  </si>
  <si>
    <t>11.004.0020-1</t>
  </si>
  <si>
    <t>03.1.8</t>
  </si>
  <si>
    <t>03.1.9</t>
  </si>
  <si>
    <t>03.2</t>
  </si>
  <si>
    <t>LAJE SUBSOLO</t>
  </si>
  <si>
    <t>03.3</t>
  </si>
  <si>
    <t>03.4</t>
  </si>
  <si>
    <t>LAJE PISO</t>
  </si>
  <si>
    <t>03.5</t>
  </si>
  <si>
    <t>ALVENARIA ESTRUTURAL</t>
  </si>
  <si>
    <t>03.6</t>
  </si>
  <si>
    <t>LAJE COBERTURA</t>
  </si>
  <si>
    <t>03.7</t>
  </si>
  <si>
    <t>CALÇADA</t>
  </si>
  <si>
    <t>03.8</t>
  </si>
  <si>
    <t>ESTRUTURA</t>
  </si>
  <si>
    <t>ESCADA</t>
  </si>
  <si>
    <t>03.9</t>
  </si>
  <si>
    <t xml:space="preserve">11.015.0020-0 </t>
  </si>
  <si>
    <t>GROUT (ARGAMASSA FLUIDA DE ELEVADA RESISTENCIA) COM PEDRISCO (30% EM PESO),INCLUSIVE PREPARO,LANCAMENTO E FORNECIMENTO  DOS MATERIAIS</t>
  </si>
  <si>
    <t>12.005.0160-0</t>
  </si>
  <si>
    <t>ALVENARIA DE BLOCOS DE CONCRETO ESTRUTURAL 15X20X40CM,ASSENTES COM ARGAMASSA DE CIMENTO E AREIA,NO TRACO 1:8,EM PAREDES DE 0,15M DE ESPESSURA,DE SUPERFICIE CORRIDA ATE 3,00M DE ALTURA E MEDIDA PELA AREA REAL</t>
  </si>
  <si>
    <t>11.023.0001-0</t>
  </si>
  <si>
    <t>TELA PARA ESTRUTURA DE CONCRETO ARMADO,FORMADA POR FIOS DE  ACO CA-60,COM DIAMETRO DE 3,4MM,CRUZADOS E SOLDADOS ENTRE SI, FORMANDO MALHAS QUADRADAS COM ESPACAMENTO ENTRE OS FIOS DE15X15CM.FORNECIMENTO</t>
  </si>
  <si>
    <t>TELA PARA ESTRUTURA DE CONCRETO ARMADO,FORMADA POR FIOS DE  ACO CA-60,CRUZADAS E SOLDADAS ENTRE SI,FORMANDO MALHAS QUADRADAS DE FIOS COM DIAMETRO DE 4,2MM E ESPACAMENTO ENTRE ELESDE 15X15CM.FORNECIMENTO</t>
  </si>
  <si>
    <t xml:space="preserve">11.023.0002-0  </t>
  </si>
  <si>
    <t>03.2.1</t>
  </si>
  <si>
    <t>03.2.2</t>
  </si>
  <si>
    <t>03.2.3</t>
  </si>
  <si>
    <t>03.3.1</t>
  </si>
  <si>
    <t>03.3.2</t>
  </si>
  <si>
    <t>03.3.3</t>
  </si>
  <si>
    <t>03.5.1</t>
  </si>
  <si>
    <t>03.4.1</t>
  </si>
  <si>
    <t>03.4.2</t>
  </si>
  <si>
    <t>03.4.3</t>
  </si>
  <si>
    <t>03.3.4</t>
  </si>
  <si>
    <t>03.3.6</t>
  </si>
  <si>
    <t>03.3.5</t>
  </si>
  <si>
    <t>03.5.2</t>
  </si>
  <si>
    <t>03.5.3</t>
  </si>
  <si>
    <t>03.5.4</t>
  </si>
  <si>
    <t>03.5.5</t>
  </si>
  <si>
    <t>03.5.6</t>
  </si>
  <si>
    <t>03.6.1</t>
  </si>
  <si>
    <t>03.6.2</t>
  </si>
  <si>
    <t>03.6.3</t>
  </si>
  <si>
    <t>03.8.1</t>
  </si>
  <si>
    <t>03.8.2</t>
  </si>
  <si>
    <t>03.8.3</t>
  </si>
  <si>
    <t>03.7.1</t>
  </si>
  <si>
    <t>03.7.2</t>
  </si>
  <si>
    <t>01.1</t>
  </si>
  <si>
    <t>01.3</t>
  </si>
  <si>
    <t>03.7.3</t>
  </si>
  <si>
    <t>03.7.4</t>
  </si>
  <si>
    <t>03.9.1</t>
  </si>
  <si>
    <t>03.9.2</t>
  </si>
  <si>
    <t>03.9.3</t>
  </si>
  <si>
    <t>03.9.4</t>
  </si>
  <si>
    <t>CORTE,DOBRAGEM,MONTAGEM E COLOCACAO DE FERRAGENS NAS FORMAS,ACO CA-50,EM BARRAS REDONDAS,COM DIAMETRO DE 8 A 12,5 MM</t>
  </si>
  <si>
    <t>CORTE,DOBRAGEM,MONTAGEM E COLOCACAO DE FERRAGENS NAS FORMAS,ACO CA-50,EM BARRAS REDONDAS,COM DIAMETRO IGUAL A 6,3 MM</t>
  </si>
  <si>
    <t>ALVENARIA ESTRUTURAL - SUBSOLO</t>
  </si>
  <si>
    <t>03.8.4</t>
  </si>
  <si>
    <t>12.007.0015-0</t>
  </si>
  <si>
    <t>PAREDE DE BLOCOS VAZADOS(COBOGO),DE CIMENTO E AREIA,COM PESO DE 4,6KG,29X29X6CM,ASSENTES COMO EM 12.006.0010</t>
  </si>
  <si>
    <t>04.1</t>
  </si>
  <si>
    <t>06.1</t>
  </si>
  <si>
    <t>04.2</t>
  </si>
  <si>
    <t>04.4</t>
  </si>
  <si>
    <t>13.002.0016-0</t>
  </si>
  <si>
    <t>13.008.0010-0</t>
  </si>
  <si>
    <t>15.007.0340-0</t>
  </si>
  <si>
    <t xml:space="preserve">VERGALHAO DE COBRE DE 3/8".FORNECIMENTO E COLOCACAO                                                                     </t>
  </si>
  <si>
    <t>06.2</t>
  </si>
  <si>
    <t>06.3</t>
  </si>
  <si>
    <t>06.5</t>
  </si>
  <si>
    <t>15.034.0020-0</t>
  </si>
  <si>
    <t>ELETRODUTO DE FERRO GALVANIZADO,TIPO MEDIO,DIAMETRO DE 3/4",INCLUSIVE CONEXOES E EMENDAS,EXCLUSIVE ABERTURA E FECHAMENTO DE RASGO.FORNECIMENTO E ASSENTAMENTO</t>
  </si>
  <si>
    <t>06.4</t>
  </si>
  <si>
    <t>15.007.0570-0</t>
  </si>
  <si>
    <t>DISJUNTOR TERMOMAGNETICO UNIPOLAR,DE 10 A 30AX250V.FORNECIMENTO E COLOCACAO</t>
  </si>
  <si>
    <t>15.036.0079-0</t>
  </si>
  <si>
    <t>ELETRODUTO DE PVC ESPIRAL CORRUGADO,DIAMETRO DE 3/4",INCLUSIVE CONEXOES E EMENDAS.FORNECIMENTO E INSTALACAO</t>
  </si>
  <si>
    <t>15.018.0118-0</t>
  </si>
  <si>
    <t>CAIXA DE LIGACAO DE PVC,TIPO CONDULETES,PARA 5 OU 6 ENTRADAS,COM DIAMETRO DE 3/4".FORNECIMENTO E COLOCACAO.</t>
  </si>
  <si>
    <t>18.027.0045-0</t>
  </si>
  <si>
    <t>LUMINARIA DE EMERGENCIA DE SOBREPOR,EM PLASTICO,EQUIPADA COM BATERIA SELADA RECARREGAVEL COM 30 LAMPADAS EM LED. FORNECIMENTO E COLOCACAO</t>
  </si>
  <si>
    <t>06.6</t>
  </si>
  <si>
    <t>06.7</t>
  </si>
  <si>
    <t>17.018.0185-0</t>
  </si>
  <si>
    <t>TEXTURA ACRILICA NA COR BRANCA,ACABAMENTO FOSCO,PARA INTERIOR OU EXTERIOR,APLICADAS EM DUAS DEMAOS SOBRE CONCRETO,ALVENARIA,BLOCO DE CONCRETO,CIMENTO SEM AMIANTO OU REVESTIMENTO</t>
  </si>
  <si>
    <t>17.017.0100-0</t>
  </si>
  <si>
    <t>PREPARO DE SUPERFICIES NOVAS,COM REVESTIMENTO LISO,INCLUSIVE LIXAMENTO,LIMPEZA,UMA DEMAO DE SELADOR ACRILICO,UMA DEMAO DE MASSA CORRIDA OU ACRILICA E NOVO LIXAMENTO COM REMOCAO DOPO RESIDUAL</t>
  </si>
  <si>
    <t>08.1</t>
  </si>
  <si>
    <t>08.2</t>
  </si>
  <si>
    <t>08.3</t>
  </si>
  <si>
    <t>16.007.0030-0</t>
  </si>
  <si>
    <t>CALHA EM CHAPA DE ACO GALVANIZADO Nø24 COM 75CM DE DESENVOLVIMENTO.FORNECIMENTO E COLOCACAO</t>
  </si>
  <si>
    <t>16.036.0030-0</t>
  </si>
  <si>
    <t>IMPERMEABILIZACAO/REVESTIMENTO DE LAJES DE COBERTURA EM CONCRETO,METAL OU MADEIRA,COM ELASTOMERO A BASE DE POLIUREIA,ISENTO DE SOLVENTES,MOLDADO NO LOCAL,CURA LENTA,A FRIO,APLICADOCOM EQUIPAMENTO TIPO AIRLESS,ROLO OU PINCEL,COM ATE 1,00MM</t>
  </si>
  <si>
    <t>17.017.0320-0</t>
  </si>
  <si>
    <t xml:space="preserve">PINTURA INTERNA OU EXTERNA SOBRE FERRO,COM ESMALTE SINTETICO BRILHANTE OU ACETINADO APOS LIXAMENTO,LIMPEZA,DESENGORDURAMENTO,UMA DEMAO DE FUNDO ANTICORROSIVO NA COR LARANJA DE SECAGEM RAPIDA E DUAS DEMAOS DE ACABAMENTO </t>
  </si>
  <si>
    <t>17.018.0115-0</t>
  </si>
  <si>
    <t>PINTURA COM TINTA LATEX SEMIBRILHANTE,FOSCA OU ACETINADA,CLASSIFICACAO PREMIUM OU STANDARD (NBR 15079),PARA INTERIOR E EXTERIOR,BRANCA OU COLORIDA,SOBRE TIJOLO,CONCRETO LISO,CIMENTO SEM AMIANTO,E REVESTIMENTO,INCLUSIVE LIXAMENTO,UMA DEMAO DE SELADOR ACRILICO,DUAS DEMAOS DE MASSA ACRILICA E DUAS DEMAOS DE ACABAMENTO</t>
  </si>
  <si>
    <t>08.4</t>
  </si>
  <si>
    <t>14,003.0225-0</t>
  </si>
  <si>
    <t>PORTA DE ALUMINIO ANODIZADO AO NATURAL,PERFIL SERIE 25,EM VENEZIANA,EXCLUSIVE FECHADURA.FORNECIMENTO E COLOCACAO</t>
  </si>
  <si>
    <t>15.004.0222-0</t>
  </si>
  <si>
    <t>TUBO DE QUEDA EM PVC REFORCADO DE 100MM,INCLUSIVE "T" SANITARIO.FORNECIMENTO E ASSENTAMENTO</t>
  </si>
  <si>
    <t>15.003.0178-0</t>
  </si>
  <si>
    <t>RALO DE COBERTURA SEMI-ESFERICO(TIPO ABACAXI),COM 4".FORNECIMENTO E COLOCACAO</t>
  </si>
  <si>
    <t>05.1</t>
  </si>
  <si>
    <t>05.2</t>
  </si>
  <si>
    <t>09.1</t>
  </si>
  <si>
    <t>16.005.0006-0</t>
  </si>
  <si>
    <t>M2XMES</t>
  </si>
  <si>
    <t>MONTAGEM E DESMONT. DE ANDAIME TUBULAR, CONSID. A AREA VERT. RECOBERTA</t>
  </si>
  <si>
    <t>08.5</t>
  </si>
  <si>
    <t>08.6</t>
  </si>
  <si>
    <t>08.7</t>
  </si>
  <si>
    <t>05.006.0001-1</t>
  </si>
  <si>
    <t>05.008.0001-0</t>
  </si>
  <si>
    <t>05.005.0012-1</t>
  </si>
  <si>
    <t>MERCADO</t>
  </si>
  <si>
    <t>03.2.4</t>
  </si>
  <si>
    <t>03.2.5</t>
  </si>
  <si>
    <t>03.4.4</t>
  </si>
  <si>
    <t>03.4.5</t>
  </si>
  <si>
    <t>03.6.4</t>
  </si>
  <si>
    <t>03.6.5</t>
  </si>
  <si>
    <t>COBERTURA EM TELHAS TRAPEZOIDAIS DE ALUMINIO,COM ESPESSURA DE 0,5MM,SOBREPOSICAO LATERAL DE UMA ONDA E LONGITUDINAL DE 0,20M,FIXACAO COM PARAFUSOS OU HASTES DE ALUMINIO 5/16"X250MMCOM ROSCA,EXCLUSIVE MADEIRAMENTO E CUMEEIRA.MEDIDA PELA AREA REAL DA COBERTURA.FORNECIMENTO E COLOCACAO</t>
  </si>
  <si>
    <t>10.1</t>
  </si>
  <si>
    <t>10.2</t>
  </si>
  <si>
    <t>10.3</t>
  </si>
  <si>
    <t>ALUGUEL DE ANDAIME COM ELEMENTOS TUBULARES(FACHADEIRO)SOBRE SAPATAS FIXAS,CONSIDERANDO-SE A AREA DA PROJECAO VERTICAL DO ANDAIME E PAGO PELO TEMPO NECESSARIO A SUA UTILIZACAO,EXCLUSIVE TRANSPORTE DOS ELEMENTOS DO ANDAIME ATE A OBRA,PLATAFORMA OU PASSARELA DE PINHO,MONTAGEM E DESMONTAGEM DOS ANDAIMES</t>
  </si>
  <si>
    <t>08.8</t>
  </si>
  <si>
    <t>PLATAFORMA OU PASSARELA DE MADEIRA DE 1¦,CONSIDERANDO-SE APROVEITAMENTO DA  MADEIRA 20 VEZES,EXCLUSIVE ANDAIME OU OUTRO SUPORTE E MOVIMENTACAO(VIDE ITEM 05.008.0008)</t>
  </si>
  <si>
    <t>14.002.0207-1</t>
  </si>
  <si>
    <t>11.1</t>
  </si>
  <si>
    <t>GUARDA-CORPO METALICO COM 1,00M DE ALTURA,EM MODULOS DE 1,88M COM MONTANTES EM CHAPA DE ACO USI-SAC 350, CHUMBADO NO CONCRETO (EXCLUSIVE ESTE),ATRAVES DE CHUMBADORES DE ACO INOXIDAVEL,INTERLIGADOS POR DOIS TUBOS HORIZONTAIS SUPERIORES COM DIAMETRO DE 2.1/2" E DOIS TUBOS HORIZONTAIS INFERIORES C/DIAMETRO DE 1" EM ACO GALVANIZADO,INCL.PINTURA.FORN. E COLOCACAO</t>
  </si>
  <si>
    <t>05.005.0050-0</t>
  </si>
  <si>
    <t>TELA DE POLIPROPILENO PARA PROTECAO DE FACHADAS,AMARRADA EM ANDAIME,EXCLUSIVE ESTE.FORNECIMENTO E COLOCACAO</t>
  </si>
  <si>
    <t>TELA ARAME GALVANIZADO 20 BWG 0,8MM MALHA ENTRE 0,5 E 1,3CM</t>
  </si>
  <si>
    <t>07.1</t>
  </si>
  <si>
    <t>07.2</t>
  </si>
  <si>
    <t>06.8</t>
  </si>
  <si>
    <t>06.9</t>
  </si>
  <si>
    <t>06.10</t>
  </si>
  <si>
    <t>06.11</t>
  </si>
  <si>
    <t>06.12</t>
  </si>
  <si>
    <t>06.13</t>
  </si>
  <si>
    <t>06.14</t>
  </si>
  <si>
    <t>06.15</t>
  </si>
  <si>
    <t>06.16</t>
  </si>
  <si>
    <t>06.17</t>
  </si>
  <si>
    <t>06.18</t>
  </si>
  <si>
    <t>06.19</t>
  </si>
  <si>
    <t>06.20</t>
  </si>
  <si>
    <t>06.21</t>
  </si>
  <si>
    <t>06.22</t>
  </si>
  <si>
    <t>06.23</t>
  </si>
  <si>
    <t>06.24</t>
  </si>
  <si>
    <t>06.25</t>
  </si>
  <si>
    <t>06.26</t>
  </si>
  <si>
    <t>06.27</t>
  </si>
  <si>
    <t>06.28</t>
  </si>
  <si>
    <t>06.29</t>
  </si>
  <si>
    <t>06.30</t>
  </si>
  <si>
    <t>06.31</t>
  </si>
  <si>
    <t>06.32</t>
  </si>
  <si>
    <t>06.33</t>
  </si>
  <si>
    <t>06.34</t>
  </si>
  <si>
    <t>06.35</t>
  </si>
  <si>
    <t>06.36</t>
  </si>
  <si>
    <t>06.37</t>
  </si>
  <si>
    <t>06.38</t>
  </si>
  <si>
    <t>06.39</t>
  </si>
  <si>
    <t>06.40</t>
  </si>
  <si>
    <t>06.41</t>
  </si>
  <si>
    <t>06.42</t>
  </si>
  <si>
    <t>06.43</t>
  </si>
  <si>
    <t>06.44</t>
  </si>
  <si>
    <t>06.45</t>
  </si>
  <si>
    <t>06.46</t>
  </si>
  <si>
    <t>BUCHA DE PASSAGEM INTERNA/EXTERNA EM PORCELANA 15KV</t>
  </si>
  <si>
    <t>BUCHA DE PASSAGEM INTERNA/INTERNA EM PORCELANA 15KV</t>
  </si>
  <si>
    <t>PARA RAIO DE DISTRIBUICAO POLIMERICO 15KV</t>
  </si>
  <si>
    <t>BORNE CONCENTRICO PARA VERGALHAO DE COBRE 3/8 - TIPO TERMINAL ANGULAR</t>
  </si>
  <si>
    <t>ISOLADOR PEDESTAL EM PORCELANA CLASSE 15KV COM PRENSA FRIO PARA VERGALHOES REDONDO</t>
  </si>
  <si>
    <t>BORNE CONCENTRICO PARA VERGALHAO DE COBRE 3/8 - TIPO UNIAO ANGULAR</t>
  </si>
  <si>
    <t>BORNE CONCENTRICO PARA VERGALHAO DE COBRE 3/8 - TIPO UNIAO SIMPLES</t>
  </si>
  <si>
    <t>BORNE CONCENTRICO PARA VERGALHAO DE COBRE 3/8 - TIPO DERIVACAO T</t>
  </si>
  <si>
    <t>BORNE CONCENTRICO PARA VERGALHAO DE COBRE 3/8 - TIPO TERMINAL CENTRAL</t>
  </si>
  <si>
    <t>BORNE CONCENTRICO PARA VERGALHAO DE COBRE 3/8 - TIPO TERMINAL LATERAL</t>
  </si>
  <si>
    <t>CHAVE SECCIONADORA TRIPOLAR, 15 KV - 400A - ABERTURA EM CARGA – USO ABRIGADO ACOMPANHADA DE ALAVANCA PARA PUNHO DE MANOBRA MODELO AC E PROLONGADOR DE EIXO DE 163MM</t>
  </si>
  <si>
    <t>CHAVE SECCIONADORA TRIPOLAR, 15KV - 400A - ABERTURA EM CARGA - USO ABRIGADO, COM BASE PARA FUSIVEIS HH, ACOMPANHADA DE ALAVANCA PARA PUNHO DE MANOBRA MODELO AC E PROLONGADOR DE EIXO DE 163 MM</t>
  </si>
  <si>
    <t>PUNHO DE MANOBRA COM BLOQUEIO TIPO KIRK YALE</t>
  </si>
  <si>
    <t>PROLONGADOR COM MANCAL LONGO</t>
  </si>
  <si>
    <t>PROLONGADOR COM MANCAL CURTO</t>
  </si>
  <si>
    <t>ARTICULADOR PARA ABERTURA POR PUNHO DE MANOBRA</t>
  </si>
  <si>
    <t>DISJUNTOR A VACUO DE MEDIA TENSAO, FABRICANTE SIEMENS, COM RELE DE PROTECAO INCORPORADO, TP’S S TC’S INTEGRADOS - SOLUSION VERSAO D</t>
  </si>
  <si>
    <t>FUSIVEL LIMITADOR DE CORRENTE TIPO HH – 15KV – 25A</t>
  </si>
  <si>
    <t>TRANSFORMADOR A OLEO COM POTENCIA DE 500 KVA 11.4 KV x 380/220V – 60HZ WEG</t>
  </si>
  <si>
    <t>CAIXA PARA MEDICAO EM MEDIA TENSAO 600 x 710 MM COM VISOR DE POLICARBONATO E CHAPA DE ESPESSURA 1,2MM OU 18, CAIXA COM ACABAMENTO DESENGORDURADA, FOSFATIZADA E PINTADA ELETROSTATICAMENTE NA COR CINZA OU BEGE</t>
  </si>
  <si>
    <t>CONECTOR PARA HASTE DE ATERRAMENTO 5/8 TIPO GAR/GTDU</t>
  </si>
  <si>
    <t>CAIXA DE INSPECAO DE ATERRAMENTO 250 x 250 MM COM TAMPA DE CONCRETO</t>
  </si>
  <si>
    <t>MASSA DE CALAFETAR PARA PROTECAO DOS CONECTORES DAS HATES DE ATERRAMENTO</t>
  </si>
  <si>
    <t>ABRACADEIRA TIPO COPO DE 3/4</t>
  </si>
  <si>
    <t>CAIXA DE PASSAGEM EM ALUMINIO FUNDIDO 150 x 120 x 60 MM CM TAMPA CEGA</t>
  </si>
  <si>
    <t>CONDULETE EM ALUMINIO FUNDIDO 50 X 100 MM COM TAMPA CEGA</t>
  </si>
  <si>
    <t>TELA ONDULADA MALHA QUADRADA 10 MM FIO 12 (LARGURA 1,20M)</t>
  </si>
  <si>
    <t>ELETRODO PARA SOLDA</t>
  </si>
  <si>
    <t>TAPETE DE BORRACHA ISOLANTE  1000 x 500 x 25MM</t>
  </si>
  <si>
    <t>VARA DE MANOBRA EM FIBRA DE VIDRO</t>
  </si>
  <si>
    <t>LUVA ISOLACAO 15KV</t>
  </si>
  <si>
    <t>CHAPA PARA ISOLADORES DE PASSAGEM 3/16” (1,60 x 0,60)M</t>
  </si>
  <si>
    <t>CONECTOR SPLIT BOLT SIMPLES/ROSCA SOBERBA EM LATAO TORNEADO PARA CABO 50MM² - FABRICANTE MAGNET – REF.: 602670</t>
  </si>
  <si>
    <t>QUADRO DE DISTRIBUICAO 24 CIRCUITOS DE SOBREPOR COM CAIXA DE FERRO</t>
  </si>
  <si>
    <t>CAVALETE PARA SUPORTE DOS TC’S e TP’S DE MEDICAO</t>
  </si>
  <si>
    <t>CHAVE SECCIONADORA COM PORTA FUSIVEIS BLINDADA EM CAIXA DE CHAPA DE ACO - FABRICANTE HOLEC – REFERENCIA: SB32-1000</t>
  </si>
  <si>
    <t>FUSIVEL DE ACAO RETARDADA TIPO GG NHA-800 A FABRICANTE SIEMENS</t>
  </si>
  <si>
    <t>GERADOR ABERTO 625 KVA</t>
  </si>
  <si>
    <t>ALUGUEL DE GERADOR 625 KVA</t>
  </si>
  <si>
    <t>06.47</t>
  </si>
  <si>
    <t>06.48</t>
  </si>
  <si>
    <t>06.49</t>
  </si>
  <si>
    <t>06.50</t>
  </si>
  <si>
    <t>06.51</t>
  </si>
  <si>
    <t>06.52</t>
  </si>
  <si>
    <t>06.53</t>
  </si>
  <si>
    <t>06.54</t>
  </si>
  <si>
    <t>06.55</t>
  </si>
  <si>
    <t>SUPORTE PARA TRES ISOLADORES PEDESTAL (FERRO "U" 100X50 MM) - VARA COM 3 M</t>
  </si>
  <si>
    <t>CABO DE COBRE COM ISOLACAO SOLIDA EXTRUDADA,COM BAIXA EMISSAO DE FUMACA,UNIPOLAR,1X240MM2,ISOLAMENTO 0,6/1KV,COMPREENDENDO:PREPARO,CORTE E ENFIACAO EM ELETRODUTOS.FORNECIMENTO E COLOCACAO</t>
  </si>
  <si>
    <t>06.56</t>
  </si>
  <si>
    <t>06.57</t>
  </si>
  <si>
    <t>06.58</t>
  </si>
  <si>
    <t>06.59</t>
  </si>
  <si>
    <t>15.017.0310-0</t>
  </si>
  <si>
    <t>TERMINAL MECANICO A COMPRESSAO,FABRICADO EM BRONZE,PARA CABO DE 240MM2.FORNECIMENTO E COLOCACAO</t>
  </si>
  <si>
    <t>06.60</t>
  </si>
  <si>
    <t>06.61</t>
  </si>
  <si>
    <t>COMPOSICAO</t>
  </si>
  <si>
    <t>BDI (17,28%)</t>
  </si>
  <si>
    <t>QUADRO DE TRANSFERENCIA MANUAL E AUTOMATICO PARA GRUPO DE GERADORES E TRANSFORMADORES</t>
  </si>
  <si>
    <t>CALCULO E AFERICAO DO RELE DE ALTA TENSAO</t>
  </si>
  <si>
    <t>QUADRO DE DISTRIBUICAO BT PARA 20 CIRCUITOS CONTENDO: 2 CHAVES SECCIONADORAS SOB CARGA GERAL 1000 A COM BASE DE FUSIVEL NH4; 14 CHAVES SECCIONADORAS PARCIAIS SF32-250 A COM BASE DE FUSIVEL NH2 E 2 CHAVES SECCIONADORAS PARCIAIS SF32-400 A COM BASE DE FUSIVEL NH3 INCLUSIVE FUSIVEIS</t>
  </si>
  <si>
    <t>15.008.0199-0</t>
  </si>
  <si>
    <t>Estado do Rio de Janeiro</t>
  </si>
  <si>
    <t>PREFEITURA MUNICIPAL DE NOVA FRIBURGO</t>
  </si>
  <si>
    <t>SECRETARIA  DE OBRAS</t>
  </si>
  <si>
    <t>Local: RUA GENERAL OSÓRIO , NOVA FRIBURGO - RJ.</t>
  </si>
  <si>
    <t>Obra: SUBESTAÇÃO - HOSPITAL MUNICIPAL RAUL SERTÃ</t>
  </si>
  <si>
    <t>MÃO-DE-OBRA PARA INSTALACAO E INTERLIGAÇÃO ELETRICA DA SUBESTACAO DE 1000KVA</t>
  </si>
  <si>
    <t>01.2</t>
  </si>
  <si>
    <t>PLACA DE IDENTIFICACAO DE OBRA PUBLICA,INCLUSIVE PINTURA E SUPORTES DE MADEIRA.FORNECIMENTO E COLOCACAO</t>
  </si>
  <si>
    <t>02.020.0001-0</t>
  </si>
  <si>
    <t>PILARES E/OU VIGAS EM TRELICAS METALICAS,INCLUSIVE UMA DEMAODE PINTURA ANTIOXIDO.FORNECIMENTO E MONTAGEM</t>
  </si>
  <si>
    <t>CUMEEIRA DE ALUMINIO,COM ESPESSURA DE 0,8MM,0,30M DE ABA PARA CADA LADO,PARA TELHAS TRAPEZOIDAIS.FORNECIMENTO E COLOCACAO</t>
  </si>
  <si>
    <t>09.2</t>
  </si>
  <si>
    <t>09.3</t>
  </si>
  <si>
    <t>m2</t>
  </si>
  <si>
    <t>11.2</t>
  </si>
  <si>
    <t xml:space="preserve"> CONSTRUCAO DE CASA DE MAQUINAS PARA ABRIGO DOS NOVOS GERADORES (estimativa -ainda sem projeto)</t>
  </si>
  <si>
    <t>16.005.0008-0</t>
  </si>
  <si>
    <t>11.016.0007-0</t>
  </si>
  <si>
    <t>DISCRIMINAÇÃO</t>
  </si>
  <si>
    <t>MÊS 1</t>
  </si>
  <si>
    <t>MÊS 2</t>
  </si>
  <si>
    <t>MÊS 3</t>
  </si>
  <si>
    <t>MÊS 4</t>
  </si>
  <si>
    <t>MÊS 5</t>
  </si>
  <si>
    <t>SUB-TOTAL</t>
  </si>
  <si>
    <t>PARCIAIS</t>
  </si>
  <si>
    <t>ACUMULADOS</t>
  </si>
  <si>
    <t>PERCENTUAL MENSAL</t>
  </si>
  <si>
    <t>PERCENTUAL ACUMULADO</t>
  </si>
  <si>
    <t>QUANT</t>
  </si>
  <si>
    <t>UNIDADE DE REF. P/SERV. DE PROJ. E CONSULTORIA (Instalação elétricas)predio antigo inclusive</t>
  </si>
  <si>
    <t>ESTRUTURA E LAJE  DE PISO</t>
  </si>
  <si>
    <t xml:space="preserve">R$ UNIT. (03/19) </t>
  </si>
  <si>
    <t>R$ TOTAL (03/19)</t>
  </si>
  <si>
    <t>unit .</t>
  </si>
  <si>
    <t>total</t>
  </si>
  <si>
    <t>parcial</t>
  </si>
  <si>
    <t>BDI (15,58%)</t>
  </si>
  <si>
    <t>RESISTENCIA A COMPRESSAO DE CORPO-DE-PROVA CILINDRICO DE 15 X 30CM, P/CORPO-DE-PROVA</t>
  </si>
  <si>
    <t>bdi 23,92%</t>
  </si>
  <si>
    <t xml:space="preserve">R$ UNIT. </t>
  </si>
  <si>
    <t xml:space="preserve">R$ TOTAL </t>
  </si>
  <si>
    <t>ALVENARIA ESTRUTURAL SUBSOLO</t>
  </si>
  <si>
    <t>ESTRUTURA E LAJE DE PISO</t>
  </si>
  <si>
    <t>LAJE DE COBERTURA</t>
  </si>
  <si>
    <t>TANQUE DE COLETA DO ÓLEO  TRANSF.E DISJUNTOR</t>
  </si>
  <si>
    <t>MÊS 6</t>
  </si>
  <si>
    <t>1 DISJUNTOR A VÁCUO SIEMENS OU SIMILAR</t>
  </si>
  <si>
    <t xml:space="preserve"> 2 TRANSFORMADORES DE 500 KVA WEG OU SIMILAR</t>
  </si>
  <si>
    <t>2 CHAVES SECCIONADORAS HOLEC OU SIMILLAR</t>
  </si>
  <si>
    <t>ALUGUEL DE 2 GERADORES PARA TRANSFERENCIA</t>
  </si>
  <si>
    <t>300 METROS CABO COBRE  1X 240 MM2</t>
  </si>
  <si>
    <t>1 QUADRO DE DISTRIBUIÇÃO BT</t>
  </si>
  <si>
    <t>1 QUADRO DE TRANSFERENCIA MANUAL E AUTOMÁTICO</t>
  </si>
  <si>
    <t xml:space="preserve">INSTALAÇÃO E INTERLIGAÇÃO DA SUBESTAÇÃO </t>
  </si>
  <si>
    <t>CÁLCULO E AFERIÇÃO DO RELE DE ALTA TENSÃO</t>
  </si>
  <si>
    <t>9 FUSÍVEIS DE AÇÃO RETARDADA SIEMENS OU SIMILAR</t>
  </si>
  <si>
    <t>TOTAL 1</t>
  </si>
  <si>
    <t>TOTAL 2</t>
  </si>
  <si>
    <t>TOTAL MENSAL</t>
  </si>
  <si>
    <t>BDI 15,58%( EQUIPAMENTOS)</t>
  </si>
  <si>
    <t>BDI 23,92%(PARTE CIVIL)</t>
  </si>
  <si>
    <t>MEMÓRIA DOS QUANTITATIVOS CONSIDERADOS</t>
  </si>
  <si>
    <t>PROJETO DE ELÉTRICA DO HOSPITAL EXISTENTE - 29.000,00 PROJETO DA SUBESTAÇÃO APROVADO ENERGISA 22.000,00 PROJETO ESTRUTURAL SUBESTAÇÃO 10.000,00 ARTS 1187,87</t>
  </si>
  <si>
    <t>PLACA 2X 3M</t>
  </si>
  <si>
    <t>40*3 DE ALTURA</t>
  </si>
  <si>
    <t>18 SAPATAS *1*1*0,6 DE PROFUNDIDADE =10,8 + CINTAS (2*12)+(6*6,15)*0,15*0,15=1,37 TOTAL =12,17 ADOT.</t>
  </si>
  <si>
    <t>SAPATAS -4*,2*18=14,4+CINTAS (6*6,15) +(2*12)*,6=36,54 TOCO PILAR 18*1,1*0,8=66,78</t>
  </si>
  <si>
    <t>SAPATAS 7,2 CINTAS 3,6 TOCO 0,8= 11,6 ADOTADO</t>
  </si>
  <si>
    <t>3,6*80+0,8*80=352 KG DIAM 6.3 ADOTADO 138,61</t>
  </si>
  <si>
    <t>IDEM</t>
  </si>
  <si>
    <t>7,2*60= 432 + (352-138,61) + AÇO NA ALVENARIA DIAM 10 CADA 20 L=1,5= 861,39 ADOTADO</t>
  </si>
  <si>
    <t>2 FIADAS DE ALVENARIA PRRA NIVELAMENTO (12+6.15)*2*0,60=21,78 ADOTADO</t>
  </si>
  <si>
    <t>21,78*,1= 2,17 ADOTADO</t>
  </si>
  <si>
    <t xml:space="preserve"> CONSIDERANDO MAIS UM MÓDULO  -12,17/10= 1,2 ADOTADO 1,12</t>
  </si>
  <si>
    <t>12*6,15=73,8 ADOTADO</t>
  </si>
  <si>
    <t>73,8*,1=7,38</t>
  </si>
  <si>
    <t>7,38*2KG/M2=147,6 ADOTADO</t>
  </si>
  <si>
    <t>1 CP PARA CADA 5M3 CAMINHÃO</t>
  </si>
  <si>
    <t>(12+6,15)*1,2= 43,56</t>
  </si>
  <si>
    <t xml:space="preserve">43,56*,1=4,3 ADOTADO </t>
  </si>
  <si>
    <t>DIAM 5.0 CORRIDO NAS FIADAS</t>
  </si>
  <si>
    <t xml:space="preserve">REFORÇO NOS CANTOS </t>
  </si>
  <si>
    <t>LAJE 12*6,15+VIGAS 15X40+PILARES 15*40= 155,42</t>
  </si>
  <si>
    <t xml:space="preserve">CONCRETO 7,4 +3,7+1,3= 12,4 </t>
  </si>
  <si>
    <t>ARMAÇÃO DA LAJE EM TELA</t>
  </si>
  <si>
    <t xml:space="preserve">IDEM </t>
  </si>
  <si>
    <t>1 CP PARA CADA 5 M3 CAMINHÃO ADOTADO</t>
  </si>
  <si>
    <t xml:space="preserve">(12+6,15)*5,5 + 3,4*5,5+2*3,4*2,4=234,67 ADOTADO </t>
  </si>
  <si>
    <t>ADOTADO</t>
  </si>
  <si>
    <t>DIAM. 5.0 CORRIDO NAS FIADAS</t>
  </si>
  <si>
    <t>ICEM</t>
  </si>
  <si>
    <t>12,6*7,45=93,87</t>
  </si>
  <si>
    <t>93,87*,15=14,08 ADOTADO</t>
  </si>
  <si>
    <t xml:space="preserve">93,87*2=187,74 ADOTADO </t>
  </si>
  <si>
    <t xml:space="preserve">8,25*1,0*,1=,82 ADOTADO </t>
  </si>
  <si>
    <t>8,25*1,0=8,25 ADOTADO</t>
  </si>
  <si>
    <t>0,82*60= 49,2 ADOTADO</t>
  </si>
  <si>
    <t xml:space="preserve">2*(12+6,15)*1,0=36,3 M2*0,15 ESPESSURA PARA REGULARIZAÇÃO =5,44 ADOTADO </t>
  </si>
  <si>
    <t>REGUA NO CONTORNO</t>
  </si>
  <si>
    <t>36,3*,08=2,9 ADOTADO</t>
  </si>
  <si>
    <t>36,3*1,1 KG/M2=39,93 ADOTADO</t>
  </si>
  <si>
    <t>60X200X 4 PAREDES = 4,8 M2</t>
  </si>
  <si>
    <t>4,8*,1= ,48 ADOTADO</t>
  </si>
  <si>
    <t>PAREDES E FUNDO</t>
  </si>
  <si>
    <t>NÃO SERÁ UTILIZADO</t>
  </si>
  <si>
    <t xml:space="preserve">AREA DA ALVENARIA </t>
  </si>
  <si>
    <t>VENTILAÇÃO</t>
  </si>
  <si>
    <t>COLETA OLEO</t>
  </si>
  <si>
    <t>ITENS ESTIMADOS DE ACORDO COM O PROJETO</t>
  </si>
  <si>
    <t>PORTA METÁLICA 1,60 X2,10</t>
  </si>
  <si>
    <t>PORTA METÁLICA 1,60 X2,10 TELAS E GRADES</t>
  </si>
  <si>
    <t>GRADES E TELAS NAS VENTILAÇÕES</t>
  </si>
  <si>
    <t>PARA PINTURA EXTERNA</t>
  </si>
  <si>
    <t>PROTEÇÃO ANDAIMES</t>
  </si>
  <si>
    <t>AREA INCLUSIVE BEIRAL</t>
  </si>
  <si>
    <t>APOIO DA ESTRUTURA METÁLICA</t>
  </si>
  <si>
    <t>ACABAMENTO DA PLATIBANDA</t>
  </si>
  <si>
    <t>CALHA FRONTAL</t>
  </si>
  <si>
    <t>ALVENARIA DE BLOCOS INTERNO E EXTERNO</t>
  </si>
  <si>
    <t>ALVENARIA DE BLOCOS EXTERNO</t>
  </si>
  <si>
    <t xml:space="preserve">ALVENARIA DE BLOCOS INTERNO </t>
  </si>
  <si>
    <t>PREVISÃO CONTRA VAZAMENTO TELHADO</t>
  </si>
  <si>
    <t>CALHA E RALO</t>
  </si>
  <si>
    <t>FUNDAÇÕES</t>
  </si>
</sst>
</file>

<file path=xl/styles.xml><?xml version="1.0" encoding="utf-8"?>
<styleSheet xmlns="http://schemas.openxmlformats.org/spreadsheetml/2006/main">
  <numFmts count="7"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&quot;R$ &quot;* #,##0.00_-;&quot;-R$ &quot;* #,##0.00_-;_-&quot;R$ &quot;* \-??_-;_-@_-"/>
    <numFmt numFmtId="166" formatCode="&quot;R$ &quot;#,##0;&quot;-R$ &quot;#,##0"/>
    <numFmt numFmtId="167" formatCode="_-* #,##0.00_-;\-* #,##0.00_-;_-* \-??_-;_-@_-"/>
    <numFmt numFmtId="168" formatCode="_-[$R$-416]\ * #,##0.00_-;\-[$R$-416]\ * #,##0.00_-;_-[$R$-416]\ * &quot;-&quot;??_-;_-@_-"/>
  </numFmts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sz val="8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Courier New"/>
      <family val="3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20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name val="Arial"/>
      <family val="2"/>
    </font>
    <font>
      <sz val="8"/>
      <name val="Courier New"/>
      <family val="3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i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0" fontId="1" fillId="0" borderId="0"/>
    <xf numFmtId="9" fontId="1" fillId="0" borderId="0" applyFill="0" applyBorder="0" applyAlignment="0" applyProtection="0"/>
    <xf numFmtId="9" fontId="1" fillId="0" borderId="0" applyFill="0" applyBorder="0" applyAlignment="0" applyProtection="0"/>
    <xf numFmtId="166" fontId="1" fillId="0" borderId="0" applyFill="0" applyBorder="0" applyAlignment="0" applyProtection="0"/>
    <xf numFmtId="166" fontId="1" fillId="0" borderId="0" applyFill="0" applyBorder="0" applyAlignment="0" applyProtection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8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3" fontId="4" fillId="0" borderId="0" xfId="12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/>
    <xf numFmtId="4" fontId="4" fillId="0" borderId="0" xfId="0" applyNumberFormat="1" applyFont="1" applyBorder="1" applyAlignment="1">
      <alignment horizontal="center" vertical="center"/>
    </xf>
    <xf numFmtId="168" fontId="4" fillId="0" borderId="0" xfId="12" applyNumberFormat="1" applyFont="1" applyBorder="1" applyAlignment="1">
      <alignment vertical="center"/>
    </xf>
    <xf numFmtId="168" fontId="0" fillId="0" borderId="0" xfId="0" applyNumberFormat="1"/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2" fontId="4" fillId="5" borderId="9" xfId="10" applyNumberFormat="1" applyFont="1" applyFill="1" applyBorder="1" applyAlignment="1" applyProtection="1">
      <alignment horizontal="center" vertical="center"/>
    </xf>
    <xf numFmtId="168" fontId="4" fillId="5" borderId="9" xfId="1" applyNumberFormat="1" applyFont="1" applyFill="1" applyBorder="1" applyAlignment="1">
      <alignment horizontal="center" vertical="center"/>
    </xf>
    <xf numFmtId="168" fontId="4" fillId="5" borderId="2" xfId="1" applyNumberFormat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2" fontId="6" fillId="2" borderId="14" xfId="10" applyNumberFormat="1" applyFont="1" applyFill="1" applyBorder="1" applyAlignment="1" applyProtection="1">
      <alignment horizontal="center" vertical="center"/>
    </xf>
    <xf numFmtId="168" fontId="6" fillId="2" borderId="14" xfId="1" applyNumberFormat="1" applyFont="1" applyFill="1" applyBorder="1" applyAlignment="1">
      <alignment horizontal="center" vertical="center"/>
    </xf>
    <xf numFmtId="168" fontId="6" fillId="2" borderId="15" xfId="1" applyNumberFormat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2" fontId="6" fillId="2" borderId="18" xfId="10" applyNumberFormat="1" applyFont="1" applyFill="1" applyBorder="1" applyAlignment="1" applyProtection="1">
      <alignment horizontal="center" vertical="center"/>
    </xf>
    <xf numFmtId="168" fontId="6" fillId="2" borderId="18" xfId="1" applyNumberFormat="1" applyFont="1" applyFill="1" applyBorder="1" applyAlignment="1">
      <alignment horizontal="center" vertical="center"/>
    </xf>
    <xf numFmtId="168" fontId="6" fillId="2" borderId="17" xfId="1" applyNumberFormat="1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168" fontId="11" fillId="4" borderId="17" xfId="0" applyNumberFormat="1" applyFont="1" applyFill="1" applyBorder="1" applyAlignment="1">
      <alignment horizontal="center" vertical="center"/>
    </xf>
    <xf numFmtId="168" fontId="11" fillId="0" borderId="19" xfId="0" applyNumberFormat="1" applyFont="1" applyBorder="1" applyAlignment="1">
      <alignment horizontal="center" vertical="center"/>
    </xf>
    <xf numFmtId="10" fontId="11" fillId="4" borderId="17" xfId="13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2" fontId="4" fillId="5" borderId="7" xfId="10" applyNumberFormat="1" applyFont="1" applyFill="1" applyBorder="1" applyAlignment="1" applyProtection="1">
      <alignment horizontal="center" vertical="center"/>
    </xf>
    <xf numFmtId="168" fontId="4" fillId="5" borderId="7" xfId="1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8" fontId="4" fillId="5" borderId="4" xfId="1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2" fontId="4" fillId="5" borderId="8" xfId="10" applyNumberFormat="1" applyFont="1" applyFill="1" applyBorder="1" applyAlignment="1" applyProtection="1">
      <alignment horizontal="center" vertical="center"/>
    </xf>
    <xf numFmtId="168" fontId="4" fillId="5" borderId="8" xfId="1" applyNumberFormat="1" applyFont="1" applyFill="1" applyBorder="1" applyAlignment="1">
      <alignment horizontal="center" vertical="center"/>
    </xf>
    <xf numFmtId="168" fontId="4" fillId="5" borderId="6" xfId="1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2" fontId="4" fillId="5" borderId="11" xfId="10" applyNumberFormat="1" applyFont="1" applyFill="1" applyBorder="1" applyAlignment="1" applyProtection="1">
      <alignment horizontal="center" vertical="center"/>
    </xf>
    <xf numFmtId="168" fontId="4" fillId="5" borderId="11" xfId="1" applyNumberFormat="1" applyFont="1" applyFill="1" applyBorder="1" applyAlignment="1">
      <alignment horizontal="center" vertical="center"/>
    </xf>
    <xf numFmtId="168" fontId="4" fillId="5" borderId="12" xfId="1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7" fillId="3" borderId="0" xfId="0" applyFont="1" applyFill="1" applyAlignment="1">
      <alignment vertical="center"/>
    </xf>
    <xf numFmtId="0" fontId="9" fillId="0" borderId="8" xfId="0" applyFont="1" applyBorder="1" applyAlignment="1">
      <alignment vertical="center" wrapText="1"/>
    </xf>
    <xf numFmtId="0" fontId="10" fillId="0" borderId="9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9" fillId="0" borderId="11" xfId="0" applyFont="1" applyBorder="1" applyAlignment="1">
      <alignment horizontal="left" vertical="center" wrapText="1"/>
    </xf>
    <xf numFmtId="0" fontId="9" fillId="7" borderId="18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left" vertical="center" wrapText="1"/>
    </xf>
    <xf numFmtId="2" fontId="4" fillId="6" borderId="18" xfId="10" applyNumberFormat="1" applyFont="1" applyFill="1" applyBorder="1" applyAlignment="1" applyProtection="1">
      <alignment horizontal="center" vertical="center"/>
    </xf>
    <xf numFmtId="168" fontId="4" fillId="6" borderId="18" xfId="1" applyNumberFormat="1" applyFont="1" applyFill="1" applyBorder="1" applyAlignment="1">
      <alignment horizontal="center" vertical="center"/>
    </xf>
    <xf numFmtId="0" fontId="13" fillId="0" borderId="0" xfId="0" applyFont="1"/>
    <xf numFmtId="0" fontId="12" fillId="6" borderId="16" xfId="1" applyFont="1" applyFill="1" applyBorder="1" applyAlignment="1">
      <alignment horizontal="center" vertical="center"/>
    </xf>
    <xf numFmtId="168" fontId="4" fillId="5" borderId="23" xfId="1" applyNumberFormat="1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2" fillId="6" borderId="13" xfId="1" applyFont="1" applyFill="1" applyBorder="1" applyAlignment="1">
      <alignment horizontal="center" vertical="center"/>
    </xf>
    <xf numFmtId="2" fontId="4" fillId="5" borderId="22" xfId="10" applyNumberFormat="1" applyFont="1" applyFill="1" applyBorder="1" applyAlignment="1" applyProtection="1">
      <alignment horizontal="center" vertical="center"/>
    </xf>
    <xf numFmtId="0" fontId="9" fillId="0" borderId="11" xfId="0" applyFont="1" applyBorder="1" applyAlignment="1">
      <alignment vertical="center" wrapText="1"/>
    </xf>
    <xf numFmtId="0" fontId="12" fillId="6" borderId="18" xfId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2" fontId="4" fillId="5" borderId="0" xfId="10" applyNumberFormat="1" applyFont="1" applyFill="1" applyBorder="1" applyAlignment="1" applyProtection="1">
      <alignment horizontal="center" vertical="center"/>
    </xf>
    <xf numFmtId="168" fontId="4" fillId="5" borderId="0" xfId="1" applyNumberFormat="1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12" fillId="6" borderId="14" xfId="1" applyFont="1" applyFill="1" applyBorder="1" applyAlignment="1">
      <alignment vertical="center"/>
    </xf>
    <xf numFmtId="168" fontId="12" fillId="6" borderId="15" xfId="1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168" fontId="12" fillId="6" borderId="17" xfId="1" applyNumberFormat="1" applyFont="1" applyFill="1" applyBorder="1" applyAlignment="1">
      <alignment vertical="center"/>
    </xf>
    <xf numFmtId="0" fontId="9" fillId="3" borderId="9" xfId="0" applyFont="1" applyFill="1" applyBorder="1" applyAlignment="1">
      <alignment horizontal="left" vertical="center" wrapText="1"/>
    </xf>
    <xf numFmtId="0" fontId="9" fillId="7" borderId="14" xfId="0" applyFont="1" applyFill="1" applyBorder="1" applyAlignment="1">
      <alignment horizontal="left" vertical="center" wrapText="1"/>
    </xf>
    <xf numFmtId="0" fontId="9" fillId="7" borderId="14" xfId="0" applyFont="1" applyFill="1" applyBorder="1" applyAlignment="1">
      <alignment horizontal="center" vertical="center"/>
    </xf>
    <xf numFmtId="2" fontId="4" fillId="6" borderId="14" xfId="10" applyNumberFormat="1" applyFont="1" applyFill="1" applyBorder="1" applyAlignment="1" applyProtection="1">
      <alignment horizontal="center" vertical="center"/>
    </xf>
    <xf numFmtId="168" fontId="4" fillId="6" borderId="14" xfId="1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 wrapText="1"/>
    </xf>
    <xf numFmtId="168" fontId="16" fillId="6" borderId="17" xfId="1" applyNumberFormat="1" applyFont="1" applyFill="1" applyBorder="1" applyAlignment="1">
      <alignment horizontal="center" vertical="center"/>
    </xf>
    <xf numFmtId="168" fontId="16" fillId="6" borderId="15" xfId="1" applyNumberFormat="1" applyFont="1" applyFill="1" applyBorder="1" applyAlignment="1">
      <alignment horizontal="center" vertical="center"/>
    </xf>
    <xf numFmtId="0" fontId="12" fillId="6" borderId="0" xfId="1" applyFont="1" applyFill="1" applyBorder="1" applyAlignment="1">
      <alignment vertical="center"/>
    </xf>
    <xf numFmtId="0" fontId="9" fillId="7" borderId="0" xfId="0" applyFont="1" applyFill="1" applyBorder="1" applyAlignment="1">
      <alignment horizontal="left" vertical="center" wrapText="1"/>
    </xf>
    <xf numFmtId="0" fontId="9" fillId="7" borderId="0" xfId="0" applyFont="1" applyFill="1" applyBorder="1" applyAlignment="1">
      <alignment horizontal="center" vertical="center"/>
    </xf>
    <xf numFmtId="2" fontId="4" fillId="6" borderId="0" xfId="10" applyNumberFormat="1" applyFont="1" applyFill="1" applyBorder="1" applyAlignment="1" applyProtection="1">
      <alignment horizontal="center" vertical="center"/>
    </xf>
    <xf numFmtId="168" fontId="4" fillId="6" borderId="0" xfId="1" applyNumberFormat="1" applyFont="1" applyFill="1" applyBorder="1" applyAlignment="1">
      <alignment horizontal="center" vertical="center"/>
    </xf>
    <xf numFmtId="168" fontId="16" fillId="6" borderId="25" xfId="1" applyNumberFormat="1" applyFont="1" applyFill="1" applyBorder="1" applyAlignment="1">
      <alignment horizontal="center" vertical="center"/>
    </xf>
    <xf numFmtId="0" fontId="12" fillId="6" borderId="26" xfId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2" fontId="6" fillId="2" borderId="0" xfId="10" applyNumberFormat="1" applyFont="1" applyFill="1" applyBorder="1" applyAlignment="1" applyProtection="1">
      <alignment horizontal="center" vertical="center"/>
    </xf>
    <xf numFmtId="168" fontId="6" fillId="2" borderId="0" xfId="1" applyNumberFormat="1" applyFont="1" applyFill="1" applyBorder="1" applyAlignment="1">
      <alignment horizontal="center" vertical="center"/>
    </xf>
    <xf numFmtId="168" fontId="6" fillId="2" borderId="25" xfId="1" applyNumberFormat="1" applyFont="1" applyFill="1" applyBorder="1" applyAlignment="1">
      <alignment horizontal="center" vertical="center"/>
    </xf>
    <xf numFmtId="0" fontId="6" fillId="2" borderId="26" xfId="1" applyFont="1" applyFill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4" fillId="5" borderId="10" xfId="1" applyFont="1" applyFill="1" applyBorder="1" applyAlignment="1">
      <alignment horizontal="center" vertical="center"/>
    </xf>
    <xf numFmtId="0" fontId="4" fillId="5" borderId="5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  <xf numFmtId="0" fontId="4" fillId="5" borderId="9" xfId="1" applyFont="1" applyFill="1" applyBorder="1" applyAlignment="1">
      <alignment horizontal="center" vertical="center"/>
    </xf>
    <xf numFmtId="0" fontId="4" fillId="5" borderId="8" xfId="1" applyFont="1" applyFill="1" applyBorder="1" applyAlignment="1">
      <alignment horizontal="center" vertical="center"/>
    </xf>
    <xf numFmtId="0" fontId="4" fillId="5" borderId="7" xfId="1" applyFont="1" applyFill="1" applyBorder="1" applyAlignment="1">
      <alignment horizontal="center" vertical="center"/>
    </xf>
    <xf numFmtId="0" fontId="4" fillId="5" borderId="7" xfId="1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1" fontId="3" fillId="0" borderId="0" xfId="0" applyNumberFormat="1" applyFont="1"/>
    <xf numFmtId="0" fontId="4" fillId="0" borderId="7" xfId="1" applyFont="1" applyBorder="1" applyAlignment="1">
      <alignment horizontal="center" vertical="center"/>
    </xf>
    <xf numFmtId="0" fontId="4" fillId="3" borderId="7" xfId="1" applyFont="1" applyFill="1" applyBorder="1" applyAlignment="1">
      <alignment horizontal="left" vertical="center" wrapText="1"/>
    </xf>
    <xf numFmtId="49" fontId="6" fillId="2" borderId="16" xfId="1" applyNumberFormat="1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2" fontId="9" fillId="3" borderId="7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4" fillId="5" borderId="24" xfId="1" applyFont="1" applyFill="1" applyBorder="1" applyAlignment="1">
      <alignment horizontal="center" vertical="center"/>
    </xf>
    <xf numFmtId="0" fontId="4" fillId="5" borderId="22" xfId="1" applyFont="1" applyFill="1" applyBorder="1" applyAlignment="1">
      <alignment horizontal="center" vertical="center"/>
    </xf>
    <xf numFmtId="0" fontId="4" fillId="5" borderId="22" xfId="1" applyFont="1" applyFill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" fontId="3" fillId="0" borderId="11" xfId="0" applyNumberFormat="1" applyFont="1" applyBorder="1" applyAlignment="1">
      <alignment horizontal="center" vertical="center"/>
    </xf>
    <xf numFmtId="0" fontId="4" fillId="5" borderId="11" xfId="1" applyFont="1" applyFill="1" applyBorder="1" applyAlignment="1">
      <alignment horizontal="center" vertical="center"/>
    </xf>
    <xf numFmtId="0" fontId="9" fillId="0" borderId="7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vertical="center" wrapText="1"/>
    </xf>
    <xf numFmtId="164" fontId="9" fillId="0" borderId="0" xfId="0" applyNumberFormat="1" applyFont="1" applyAlignment="1">
      <alignment vertical="center"/>
    </xf>
    <xf numFmtId="164" fontId="0" fillId="0" borderId="0" xfId="0" applyNumberFormat="1"/>
    <xf numFmtId="164" fontId="7" fillId="0" borderId="0" xfId="0" applyNumberFormat="1" applyFont="1" applyAlignment="1">
      <alignment vertical="center"/>
    </xf>
    <xf numFmtId="0" fontId="4" fillId="5" borderId="8" xfId="1" applyFont="1" applyFill="1" applyBorder="1" applyAlignment="1">
      <alignment horizontal="left" vertical="center"/>
    </xf>
    <xf numFmtId="49" fontId="22" fillId="0" borderId="0" xfId="0" applyNumberFormat="1" applyFont="1" applyBorder="1" applyAlignment="1">
      <alignment vertical="center" wrapText="1"/>
    </xf>
    <xf numFmtId="49" fontId="20" fillId="0" borderId="0" xfId="0" applyNumberFormat="1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49" fontId="21" fillId="0" borderId="0" xfId="0" applyNumberFormat="1" applyFont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9" fontId="22" fillId="0" borderId="28" xfId="0" applyNumberFormat="1" applyFont="1" applyBorder="1" applyAlignment="1">
      <alignment vertical="center" wrapText="1"/>
    </xf>
    <xf numFmtId="49" fontId="22" fillId="0" borderId="29" xfId="0" applyNumberFormat="1" applyFont="1" applyBorder="1" applyAlignment="1">
      <alignment vertical="center" wrapText="1"/>
    </xf>
    <xf numFmtId="49" fontId="22" fillId="0" borderId="30" xfId="0" applyNumberFormat="1" applyFont="1" applyBorder="1" applyAlignment="1">
      <alignment vertical="center" wrapText="1"/>
    </xf>
    <xf numFmtId="168" fontId="4" fillId="5" borderId="22" xfId="1" applyNumberFormat="1" applyFont="1" applyFill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 wrapText="1"/>
    </xf>
    <xf numFmtId="168" fontId="4" fillId="5" borderId="31" xfId="1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 wrapText="1"/>
    </xf>
    <xf numFmtId="10" fontId="11" fillId="8" borderId="15" xfId="0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justify" vertical="top" wrapText="1"/>
    </xf>
    <xf numFmtId="0" fontId="4" fillId="0" borderId="32" xfId="0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 wrapText="1"/>
    </xf>
    <xf numFmtId="168" fontId="4" fillId="5" borderId="32" xfId="1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" fontId="0" fillId="0" borderId="0" xfId="0" applyNumberFormat="1"/>
    <xf numFmtId="0" fontId="24" fillId="5" borderId="7" xfId="1" applyFont="1" applyFill="1" applyBorder="1" applyAlignment="1">
      <alignment vertical="center"/>
    </xf>
    <xf numFmtId="0" fontId="25" fillId="5" borderId="7" xfId="1" applyFont="1" applyFill="1" applyBorder="1" applyAlignment="1">
      <alignment vertical="center"/>
    </xf>
    <xf numFmtId="0" fontId="0" fillId="3" borderId="7" xfId="0" applyFont="1" applyFill="1" applyBorder="1"/>
    <xf numFmtId="4" fontId="0" fillId="3" borderId="7" xfId="0" applyNumberFormat="1" applyFont="1" applyFill="1" applyBorder="1" applyAlignment="1">
      <alignment horizontal="center"/>
    </xf>
    <xf numFmtId="4" fontId="25" fillId="5" borderId="4" xfId="1" applyNumberFormat="1" applyFont="1" applyFill="1" applyBorder="1" applyAlignment="1">
      <alignment horizontal="center"/>
    </xf>
    <xf numFmtId="0" fontId="0" fillId="3" borderId="3" xfId="0" applyFont="1" applyFill="1" applyBorder="1"/>
    <xf numFmtId="0" fontId="0" fillId="3" borderId="5" xfId="0" applyFont="1" applyFill="1" applyBorder="1"/>
    <xf numFmtId="4" fontId="25" fillId="5" borderId="33" xfId="1" applyNumberFormat="1" applyFont="1" applyFill="1" applyBorder="1" applyAlignment="1">
      <alignment horizontal="center" vertical="center"/>
    </xf>
    <xf numFmtId="0" fontId="24" fillId="5" borderId="33" xfId="1" applyFont="1" applyFill="1" applyBorder="1" applyAlignment="1">
      <alignment vertical="center"/>
    </xf>
    <xf numFmtId="4" fontId="0" fillId="3" borderId="33" xfId="0" applyNumberFormat="1" applyFont="1" applyFill="1" applyBorder="1" applyAlignment="1">
      <alignment horizontal="center"/>
    </xf>
    <xf numFmtId="4" fontId="24" fillId="5" borderId="33" xfId="1" applyNumberFormat="1" applyFont="1" applyFill="1" applyBorder="1" applyAlignment="1">
      <alignment horizontal="center" vertical="center"/>
    </xf>
    <xf numFmtId="4" fontId="23" fillId="3" borderId="7" xfId="0" applyNumberFormat="1" applyFont="1" applyFill="1" applyBorder="1" applyAlignment="1">
      <alignment horizontal="center"/>
    </xf>
    <xf numFmtId="0" fontId="23" fillId="3" borderId="7" xfId="0" applyFont="1" applyFill="1" applyBorder="1"/>
    <xf numFmtId="0" fontId="23" fillId="3" borderId="8" xfId="0" applyFont="1" applyFill="1" applyBorder="1"/>
    <xf numFmtId="4" fontId="23" fillId="3" borderId="4" xfId="0" applyNumberFormat="1" applyFont="1" applyFill="1" applyBorder="1" applyAlignment="1">
      <alignment horizontal="center"/>
    </xf>
    <xf numFmtId="4" fontId="23" fillId="3" borderId="6" xfId="0" applyNumberFormat="1" applyFont="1" applyFill="1" applyBorder="1" applyAlignment="1">
      <alignment horizontal="center"/>
    </xf>
    <xf numFmtId="0" fontId="0" fillId="0" borderId="13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9" fontId="25" fillId="0" borderId="28" xfId="0" applyNumberFormat="1" applyFont="1" applyBorder="1" applyAlignment="1">
      <alignment vertical="center" wrapText="1"/>
    </xf>
    <xf numFmtId="49" fontId="25" fillId="0" borderId="29" xfId="0" applyNumberFormat="1" applyFont="1" applyBorder="1" applyAlignment="1">
      <alignment vertical="center" wrapText="1"/>
    </xf>
    <xf numFmtId="49" fontId="25" fillId="0" borderId="30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/>
    </xf>
    <xf numFmtId="0" fontId="23" fillId="0" borderId="9" xfId="0" applyFont="1" applyBorder="1"/>
    <xf numFmtId="0" fontId="23" fillId="0" borderId="9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0" fillId="3" borderId="3" xfId="0" applyFont="1" applyFill="1" applyBorder="1" applyAlignment="1">
      <alignment horizontal="center" vertical="center"/>
    </xf>
    <xf numFmtId="10" fontId="24" fillId="5" borderId="33" xfId="1" applyNumberFormat="1" applyFont="1" applyFill="1" applyBorder="1" applyAlignment="1">
      <alignment horizontal="center" vertical="center"/>
    </xf>
    <xf numFmtId="10" fontId="23" fillId="3" borderId="7" xfId="0" applyNumberFormat="1" applyFont="1" applyFill="1" applyBorder="1" applyAlignment="1">
      <alignment horizontal="center"/>
    </xf>
    <xf numFmtId="4" fontId="4" fillId="5" borderId="8" xfId="1" applyNumberFormat="1" applyFont="1" applyFill="1" applyBorder="1" applyAlignment="1">
      <alignment horizontal="center" vertical="center"/>
    </xf>
    <xf numFmtId="44" fontId="0" fillId="0" borderId="0" xfId="0" applyNumberFormat="1"/>
    <xf numFmtId="168" fontId="4" fillId="5" borderId="35" xfId="1" applyNumberFormat="1" applyFont="1" applyFill="1" applyBorder="1" applyAlignment="1">
      <alignment horizontal="center" vertical="center"/>
    </xf>
    <xf numFmtId="2" fontId="6" fillId="2" borderId="29" xfId="10" applyNumberFormat="1" applyFont="1" applyFill="1" applyBorder="1" applyAlignment="1" applyProtection="1">
      <alignment horizontal="center" vertical="center"/>
    </xf>
    <xf numFmtId="168" fontId="6" fillId="2" borderId="29" xfId="1" applyNumberFormat="1" applyFont="1" applyFill="1" applyBorder="1" applyAlignment="1">
      <alignment horizontal="center" vertical="center"/>
    </xf>
    <xf numFmtId="168" fontId="6" fillId="2" borderId="30" xfId="1" applyNumberFormat="1" applyFont="1" applyFill="1" applyBorder="1" applyAlignment="1">
      <alignment horizontal="center" vertical="center"/>
    </xf>
    <xf numFmtId="0" fontId="12" fillId="6" borderId="29" xfId="1" applyFont="1" applyFill="1" applyBorder="1" applyAlignment="1">
      <alignment vertical="center"/>
    </xf>
    <xf numFmtId="168" fontId="12" fillId="6" borderId="30" xfId="1" applyNumberFormat="1" applyFont="1" applyFill="1" applyBorder="1" applyAlignment="1">
      <alignment vertical="center"/>
    </xf>
    <xf numFmtId="168" fontId="12" fillId="6" borderId="25" xfId="1" applyNumberFormat="1" applyFont="1" applyFill="1" applyBorder="1" applyAlignment="1">
      <alignment vertical="center"/>
    </xf>
    <xf numFmtId="2" fontId="4" fillId="5" borderId="20" xfId="10" applyNumberFormat="1" applyFont="1" applyFill="1" applyBorder="1" applyAlignment="1" applyProtection="1">
      <alignment horizontal="center" vertical="center"/>
    </xf>
    <xf numFmtId="168" fontId="4" fillId="5" borderId="20" xfId="1" applyNumberFormat="1" applyFont="1" applyFill="1" applyBorder="1" applyAlignment="1">
      <alignment horizontal="center" vertical="center"/>
    </xf>
    <xf numFmtId="168" fontId="4" fillId="5" borderId="36" xfId="1" applyNumberFormat="1" applyFont="1" applyFill="1" applyBorder="1" applyAlignment="1">
      <alignment horizontal="center" vertical="center"/>
    </xf>
    <xf numFmtId="168" fontId="11" fillId="4" borderId="30" xfId="0" applyNumberFormat="1" applyFont="1" applyFill="1" applyBorder="1" applyAlignment="1">
      <alignment horizontal="center" vertical="center"/>
    </xf>
    <xf numFmtId="0" fontId="11" fillId="4" borderId="37" xfId="0" applyFont="1" applyFill="1" applyBorder="1" applyAlignment="1">
      <alignment horizontal="center" vertical="center"/>
    </xf>
    <xf numFmtId="10" fontId="11" fillId="3" borderId="25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6" fillId="0" borderId="26" xfId="0" applyFont="1" applyBorder="1" applyAlignment="1"/>
    <xf numFmtId="0" fontId="4" fillId="0" borderId="25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/>
    </xf>
    <xf numFmtId="10" fontId="11" fillId="3" borderId="15" xfId="0" applyNumberFormat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left" vertical="center"/>
    </xf>
    <xf numFmtId="0" fontId="6" fillId="2" borderId="14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/>
    </xf>
    <xf numFmtId="4" fontId="23" fillId="3" borderId="33" xfId="0" applyNumberFormat="1" applyFont="1" applyFill="1" applyBorder="1"/>
    <xf numFmtId="4" fontId="23" fillId="3" borderId="34" xfId="0" applyNumberFormat="1" applyFont="1" applyFill="1" applyBorder="1"/>
    <xf numFmtId="4" fontId="0" fillId="3" borderId="38" xfId="0" applyNumberFormat="1" applyFont="1" applyFill="1" applyBorder="1" applyAlignment="1">
      <alignment horizontal="center"/>
    </xf>
    <xf numFmtId="0" fontId="23" fillId="3" borderId="38" xfId="0" applyFont="1" applyFill="1" applyBorder="1"/>
    <xf numFmtId="4" fontId="0" fillId="3" borderId="39" xfId="0" applyNumberFormat="1" applyFont="1" applyFill="1" applyBorder="1" applyAlignment="1">
      <alignment horizontal="center"/>
    </xf>
    <xf numFmtId="0" fontId="0" fillId="3" borderId="10" xfId="0" applyFont="1" applyFill="1" applyBorder="1"/>
    <xf numFmtId="0" fontId="23" fillId="3" borderId="11" xfId="0" applyFont="1" applyFill="1" applyBorder="1"/>
    <xf numFmtId="4" fontId="23" fillId="3" borderId="27" xfId="0" applyNumberFormat="1" applyFont="1" applyFill="1" applyBorder="1"/>
    <xf numFmtId="4" fontId="23" fillId="3" borderId="12" xfId="0" applyNumberFormat="1" applyFont="1" applyFill="1" applyBorder="1" applyAlignment="1">
      <alignment horizontal="center"/>
    </xf>
    <xf numFmtId="0" fontId="6" fillId="4" borderId="9" xfId="1" applyFont="1" applyFill="1" applyBorder="1" applyAlignment="1">
      <alignment horizontal="center" vertical="center" wrapText="1"/>
    </xf>
    <xf numFmtId="0" fontId="6" fillId="4" borderId="8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left" vertical="center"/>
    </xf>
    <xf numFmtId="0" fontId="6" fillId="2" borderId="14" xfId="1" applyFont="1" applyFill="1" applyBorder="1" applyAlignment="1">
      <alignment horizontal="left" vertical="center"/>
    </xf>
    <xf numFmtId="0" fontId="6" fillId="4" borderId="2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2" fontId="6" fillId="4" borderId="9" xfId="10" applyNumberFormat="1" applyFont="1" applyFill="1" applyBorder="1" applyAlignment="1" applyProtection="1">
      <alignment horizontal="center" vertical="center" wrapText="1"/>
    </xf>
    <xf numFmtId="2" fontId="6" fillId="4" borderId="8" xfId="10" applyNumberFormat="1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right" vertical="center"/>
    </xf>
    <xf numFmtId="0" fontId="6" fillId="4" borderId="16" xfId="1" applyFont="1" applyFill="1" applyBorder="1" applyAlignment="1">
      <alignment horizontal="right" vertical="center"/>
    </xf>
    <xf numFmtId="0" fontId="6" fillId="4" borderId="18" xfId="1" applyFont="1" applyFill="1" applyBorder="1" applyAlignment="1">
      <alignment horizontal="right" vertical="center"/>
    </xf>
    <xf numFmtId="0" fontId="6" fillId="4" borderId="9" xfId="1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left" vertical="center"/>
    </xf>
    <xf numFmtId="0" fontId="6" fillId="4" borderId="13" xfId="1" applyFont="1" applyFill="1" applyBorder="1" applyAlignment="1">
      <alignment horizontal="right" vertical="center"/>
    </xf>
    <xf numFmtId="0" fontId="6" fillId="4" borderId="14" xfId="1" applyFont="1" applyFill="1" applyBorder="1" applyAlignment="1">
      <alignment horizontal="right" vertical="center"/>
    </xf>
    <xf numFmtId="0" fontId="6" fillId="4" borderId="1" xfId="1" applyFont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center" vertical="center"/>
    </xf>
    <xf numFmtId="0" fontId="6" fillId="4" borderId="20" xfId="1" applyFont="1" applyFill="1" applyBorder="1" applyAlignment="1">
      <alignment horizontal="center" vertical="center" wrapText="1"/>
    </xf>
    <xf numFmtId="0" fontId="6" fillId="4" borderId="21" xfId="1" applyFont="1" applyFill="1" applyBorder="1" applyAlignment="1">
      <alignment horizontal="center" vertical="center" wrapText="1"/>
    </xf>
    <xf numFmtId="49" fontId="21" fillId="0" borderId="28" xfId="0" applyNumberFormat="1" applyFont="1" applyBorder="1" applyAlignment="1">
      <alignment horizontal="center" vertical="center" wrapText="1"/>
    </xf>
    <xf numFmtId="49" fontId="21" fillId="0" borderId="29" xfId="0" applyNumberFormat="1" applyFont="1" applyBorder="1" applyAlignment="1">
      <alignment horizontal="center" vertical="center" wrapText="1"/>
    </xf>
    <xf numFmtId="49" fontId="21" fillId="0" borderId="30" xfId="0" applyNumberFormat="1" applyFont="1" applyBorder="1" applyAlignment="1">
      <alignment horizontal="center" vertical="center" wrapText="1"/>
    </xf>
    <xf numFmtId="49" fontId="22" fillId="0" borderId="16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17" xfId="0" applyNumberFormat="1" applyFont="1" applyBorder="1" applyAlignment="1">
      <alignment horizontal="center" vertical="center" wrapText="1"/>
    </xf>
    <xf numFmtId="49" fontId="20" fillId="0" borderId="14" xfId="0" applyNumberFormat="1" applyFont="1" applyBorder="1" applyAlignment="1">
      <alignment horizontal="left" vertical="center" wrapText="1"/>
    </xf>
    <xf numFmtId="49" fontId="20" fillId="0" borderId="15" xfId="0" applyNumberFormat="1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left" vertical="center" wrapText="1"/>
    </xf>
    <xf numFmtId="49" fontId="21" fillId="0" borderId="0" xfId="0" applyNumberFormat="1" applyFont="1" applyBorder="1" applyAlignment="1">
      <alignment horizontal="left" vertical="center" wrapText="1"/>
    </xf>
    <xf numFmtId="49" fontId="21" fillId="0" borderId="25" xfId="0" applyNumberFormat="1" applyFont="1" applyBorder="1" applyAlignment="1">
      <alignment horizontal="left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49" fontId="26" fillId="0" borderId="26" xfId="0" applyNumberFormat="1" applyFont="1" applyBorder="1" applyAlignment="1">
      <alignment horizontal="center" vertical="center" wrapText="1"/>
    </xf>
    <xf numFmtId="49" fontId="26" fillId="0" borderId="25" xfId="0" applyNumberFormat="1" applyFont="1" applyBorder="1" applyAlignment="1">
      <alignment horizontal="center" vertical="center" wrapText="1"/>
    </xf>
    <xf numFmtId="49" fontId="26" fillId="0" borderId="28" xfId="0" applyNumberFormat="1" applyFont="1" applyBorder="1" applyAlignment="1">
      <alignment horizontal="center" vertical="center" wrapText="1"/>
    </xf>
    <xf numFmtId="49" fontId="26" fillId="0" borderId="30" xfId="0" applyNumberFormat="1" applyFont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left" vertical="center" wrapText="1"/>
    </xf>
    <xf numFmtId="49" fontId="26" fillId="0" borderId="14" xfId="0" applyNumberFormat="1" applyFont="1" applyBorder="1" applyAlignment="1">
      <alignment horizontal="left" vertical="center" wrapText="1"/>
    </xf>
    <xf numFmtId="49" fontId="26" fillId="0" borderId="15" xfId="0" applyNumberFormat="1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49" fontId="24" fillId="0" borderId="26" xfId="0" applyNumberFormat="1" applyFont="1" applyBorder="1" applyAlignment="1">
      <alignment horizontal="left" vertical="center" wrapText="1"/>
    </xf>
    <xf numFmtId="49" fontId="24" fillId="0" borderId="0" xfId="0" applyNumberFormat="1" applyFont="1" applyBorder="1" applyAlignment="1">
      <alignment horizontal="left" vertical="center" wrapText="1"/>
    </xf>
    <xf numFmtId="49" fontId="24" fillId="0" borderId="25" xfId="0" applyNumberFormat="1" applyFont="1" applyBorder="1" applyAlignment="1">
      <alignment horizontal="left" vertical="center" wrapText="1"/>
    </xf>
    <xf numFmtId="49" fontId="24" fillId="0" borderId="28" xfId="0" applyNumberFormat="1" applyFont="1" applyBorder="1" applyAlignment="1">
      <alignment horizontal="center" vertical="center" wrapText="1"/>
    </xf>
    <xf numFmtId="49" fontId="24" fillId="0" borderId="29" xfId="0" applyNumberFormat="1" applyFont="1" applyBorder="1" applyAlignment="1">
      <alignment horizontal="center" vertical="center" wrapText="1"/>
    </xf>
    <xf numFmtId="49" fontId="24" fillId="0" borderId="30" xfId="0" applyNumberFormat="1" applyFont="1" applyBorder="1" applyAlignment="1">
      <alignment horizontal="center" vertical="center" wrapText="1"/>
    </xf>
    <xf numFmtId="49" fontId="25" fillId="0" borderId="16" xfId="0" applyNumberFormat="1" applyFont="1" applyBorder="1" applyAlignment="1">
      <alignment horizontal="center" vertical="center" wrapText="1"/>
    </xf>
    <xf numFmtId="49" fontId="25" fillId="0" borderId="18" xfId="0" applyNumberFormat="1" applyFont="1" applyBorder="1" applyAlignment="1">
      <alignment horizontal="center" vertical="center" wrapText="1"/>
    </xf>
    <xf numFmtId="49" fontId="25" fillId="0" borderId="17" xfId="0" applyNumberFormat="1" applyFont="1" applyBorder="1" applyAlignment="1">
      <alignment horizontal="center" vertical="center" wrapText="1"/>
    </xf>
    <xf numFmtId="0" fontId="6" fillId="4" borderId="20" xfId="1" applyFont="1" applyFill="1" applyBorder="1" applyAlignment="1">
      <alignment horizontal="center" vertical="center"/>
    </xf>
    <xf numFmtId="0" fontId="6" fillId="4" borderId="21" xfId="1" applyFont="1" applyFill="1" applyBorder="1" applyAlignment="1">
      <alignment horizontal="center" vertical="center"/>
    </xf>
  </cellXfs>
  <cellStyles count="14">
    <cellStyle name="Hiperlink 2" xfId="2"/>
    <cellStyle name="Moeda 2" xfId="4"/>
    <cellStyle name="Moeda 3" xfId="3"/>
    <cellStyle name="Normal" xfId="0" builtinId="0"/>
    <cellStyle name="Normal 2" xfId="5"/>
    <cellStyle name="Normal 3" xfId="1"/>
    <cellStyle name="Porcentagem" xfId="13" builtinId="5"/>
    <cellStyle name="Porcentagem 2" xfId="7"/>
    <cellStyle name="Porcentagem 3" xfId="6"/>
    <cellStyle name="Separador de milhares 5" xfId="8"/>
    <cellStyle name="Separador de milhares 5 2" xfId="9"/>
    <cellStyle name="Vírgula 2" xfId="11"/>
    <cellStyle name="Vírgula 2 2 2" xfId="12"/>
    <cellStyle name="Vírgula 3" xfId="10"/>
  </cellStyles>
  <dxfs count="0"/>
  <tableStyles count="0" defaultTableStyle="TableStyleMedium2" defaultPivotStyle="PivotStyleLight16"/>
  <colors>
    <mruColors>
      <color rgb="FF00FF00"/>
      <color rgb="FFA7FFC4"/>
      <color rgb="FFB7FFCF"/>
      <color rgb="FF09BF1A"/>
      <color rgb="FF65F587"/>
      <color rgb="FFFFFF99"/>
      <color rgb="FF9966FF"/>
      <color rgb="FF9933FF"/>
      <color rgb="FFFF66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26459</xdr:colOff>
      <xdr:row>1</xdr:row>
      <xdr:rowOff>113242</xdr:rowOff>
    </xdr:from>
    <xdr:to>
      <xdr:col>0</xdr:col>
      <xdr:colOff>594784</xdr:colOff>
      <xdr:row>4</xdr:row>
      <xdr:rowOff>127000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459" y="227542"/>
          <a:ext cx="568325" cy="6043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304801</xdr:colOff>
      <xdr:row>2</xdr:row>
      <xdr:rowOff>28575</xdr:rowOff>
    </xdr:from>
    <xdr:to>
      <xdr:col>8</xdr:col>
      <xdr:colOff>609601</xdr:colOff>
      <xdr:row>5</xdr:row>
      <xdr:rowOff>180975</xdr:rowOff>
    </xdr:to>
    <xdr:pic>
      <xdr:nvPicPr>
        <xdr:cNvPr id="3" name="Imagem 2" descr="C:\Documents and Settings\hp\Desktop\arquivos 2017\ESTUDOS 2017\LOGO-200-anos-julh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496301" y="333375"/>
          <a:ext cx="1270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45509</xdr:colOff>
      <xdr:row>1</xdr:row>
      <xdr:rowOff>56092</xdr:rowOff>
    </xdr:from>
    <xdr:to>
      <xdr:col>1</xdr:col>
      <xdr:colOff>613834</xdr:colOff>
      <xdr:row>3</xdr:row>
      <xdr:rowOff>132291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7909" y="256117"/>
          <a:ext cx="635000" cy="676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45509</xdr:colOff>
      <xdr:row>1</xdr:row>
      <xdr:rowOff>56092</xdr:rowOff>
    </xdr:from>
    <xdr:to>
      <xdr:col>1</xdr:col>
      <xdr:colOff>613834</xdr:colOff>
      <xdr:row>3</xdr:row>
      <xdr:rowOff>122766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7909" y="351367"/>
          <a:ext cx="568325" cy="6667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opLeftCell="A37" zoomScale="75" zoomScaleNormal="75" workbookViewId="0">
      <selection activeCell="B59" sqref="B59"/>
    </sheetView>
  </sheetViews>
  <sheetFormatPr defaultRowHeight="15"/>
  <cols>
    <col min="1" max="1" width="9.5703125" customWidth="1"/>
    <col min="2" max="2" width="48" customWidth="1"/>
    <col min="3" max="5" width="12.7109375" customWidth="1"/>
    <col min="6" max="6" width="13.7109375" customWidth="1"/>
    <col min="7" max="7" width="13.28515625" customWidth="1"/>
    <col min="8" max="8" width="14.42578125" customWidth="1"/>
    <col min="9" max="9" width="16.42578125" customWidth="1"/>
    <col min="11" max="11" width="14" customWidth="1"/>
  </cols>
  <sheetData>
    <row r="1" spans="1:11" ht="9" customHeight="1" thickBot="1"/>
    <row r="2" spans="1:11" ht="15" customHeight="1">
      <c r="A2" s="180"/>
      <c r="B2" s="270" t="s">
        <v>341</v>
      </c>
      <c r="C2" s="271"/>
      <c r="D2" s="271"/>
      <c r="E2" s="271"/>
      <c r="F2" s="271"/>
      <c r="G2" s="272"/>
      <c r="H2" s="264"/>
      <c r="I2" s="265"/>
    </row>
    <row r="3" spans="1:11" ht="15.75" customHeight="1">
      <c r="A3" s="181"/>
      <c r="B3" s="273" t="s">
        <v>342</v>
      </c>
      <c r="C3" s="274"/>
      <c r="D3" s="274"/>
      <c r="E3" s="274"/>
      <c r="F3" s="274"/>
      <c r="G3" s="275"/>
      <c r="H3" s="266"/>
      <c r="I3" s="267"/>
    </row>
    <row r="4" spans="1:11" ht="15.75" customHeight="1">
      <c r="A4" s="181"/>
      <c r="B4" s="276" t="s">
        <v>343</v>
      </c>
      <c r="C4" s="277"/>
      <c r="D4" s="277"/>
      <c r="E4" s="277"/>
      <c r="F4" s="277"/>
      <c r="G4" s="278"/>
      <c r="H4" s="266"/>
      <c r="I4" s="267"/>
    </row>
    <row r="5" spans="1:11" ht="15.75" thickBot="1">
      <c r="A5" s="182"/>
      <c r="B5" s="182"/>
      <c r="C5" s="183"/>
      <c r="D5" s="183"/>
      <c r="E5" s="183"/>
      <c r="F5" s="183"/>
      <c r="G5" s="184"/>
      <c r="H5" s="266"/>
      <c r="I5" s="267"/>
    </row>
    <row r="6" spans="1:11" ht="15.75" thickBot="1">
      <c r="A6" s="279" t="s">
        <v>345</v>
      </c>
      <c r="B6" s="280"/>
      <c r="C6" s="280"/>
      <c r="D6" s="280"/>
      <c r="E6" s="280"/>
      <c r="F6" s="280"/>
      <c r="G6" s="281"/>
      <c r="H6" s="266"/>
      <c r="I6" s="267"/>
    </row>
    <row r="7" spans="1:11" ht="15.75" thickBot="1">
      <c r="A7" s="282" t="s">
        <v>344</v>
      </c>
      <c r="B7" s="283"/>
      <c r="C7" s="283"/>
      <c r="D7" s="283"/>
      <c r="E7" s="283"/>
      <c r="F7" s="283"/>
      <c r="G7" s="284"/>
      <c r="H7" s="268"/>
      <c r="I7" s="269"/>
    </row>
    <row r="8" spans="1:11" ht="15.75" thickBot="1"/>
    <row r="9" spans="1:11">
      <c r="A9" s="185" t="s">
        <v>0</v>
      </c>
      <c r="B9" s="186" t="s">
        <v>359</v>
      </c>
      <c r="C9" s="187" t="s">
        <v>360</v>
      </c>
      <c r="D9" s="187" t="s">
        <v>361</v>
      </c>
      <c r="E9" s="187" t="s">
        <v>362</v>
      </c>
      <c r="F9" s="187" t="s">
        <v>363</v>
      </c>
      <c r="G9" s="187" t="s">
        <v>364</v>
      </c>
      <c r="H9" s="187" t="s">
        <v>387</v>
      </c>
      <c r="I9" s="188" t="s">
        <v>38</v>
      </c>
    </row>
    <row r="10" spans="1:11">
      <c r="A10" s="189" t="s">
        <v>3</v>
      </c>
      <c r="B10" s="165" t="s">
        <v>39</v>
      </c>
      <c r="C10" s="167">
        <v>15000</v>
      </c>
      <c r="D10" s="167">
        <v>15000</v>
      </c>
      <c r="E10" s="167">
        <v>10000</v>
      </c>
      <c r="F10" s="167">
        <v>10000</v>
      </c>
      <c r="G10" s="167">
        <v>10000</v>
      </c>
      <c r="H10" s="224">
        <v>7873.18</v>
      </c>
      <c r="I10" s="168">
        <f>SUM(C10:H10)</f>
        <v>67873.179999999993</v>
      </c>
      <c r="K10" s="163"/>
    </row>
    <row r="11" spans="1:11">
      <c r="A11" s="189"/>
      <c r="B11" s="165"/>
      <c r="C11" s="173"/>
      <c r="D11" s="167"/>
      <c r="E11" s="167"/>
      <c r="F11" s="167"/>
      <c r="G11" s="167"/>
      <c r="H11" s="224"/>
      <c r="I11" s="168"/>
      <c r="K11" s="163"/>
    </row>
    <row r="12" spans="1:11">
      <c r="A12" s="189" t="s">
        <v>11</v>
      </c>
      <c r="B12" s="166" t="s">
        <v>12</v>
      </c>
      <c r="C12" s="173">
        <v>712.81</v>
      </c>
      <c r="D12" s="167"/>
      <c r="E12" s="167"/>
      <c r="F12" s="167"/>
      <c r="G12" s="167"/>
      <c r="H12" s="224"/>
      <c r="I12" s="168">
        <f t="shared" ref="I12:I49" si="0">SUM(C12:G12)</f>
        <v>712.81</v>
      </c>
      <c r="K12" s="163"/>
    </row>
    <row r="13" spans="1:11">
      <c r="A13" s="189"/>
      <c r="B13" s="166"/>
      <c r="C13" s="173"/>
      <c r="D13" s="167"/>
      <c r="E13" s="167"/>
      <c r="F13" s="167"/>
      <c r="G13" s="167"/>
      <c r="H13" s="224"/>
      <c r="I13" s="168"/>
      <c r="K13" s="163"/>
    </row>
    <row r="14" spans="1:11">
      <c r="A14" s="189" t="s">
        <v>15</v>
      </c>
      <c r="B14" s="165" t="s">
        <v>107</v>
      </c>
      <c r="C14" s="171"/>
      <c r="D14" s="167"/>
      <c r="E14" s="167"/>
      <c r="F14" s="167"/>
      <c r="G14" s="167"/>
      <c r="H14" s="224"/>
      <c r="I14" s="168"/>
      <c r="K14" s="163"/>
    </row>
    <row r="15" spans="1:11">
      <c r="A15" s="189"/>
      <c r="B15" s="165" t="s">
        <v>79</v>
      </c>
      <c r="C15" s="171">
        <v>17829.37</v>
      </c>
      <c r="D15" s="167"/>
      <c r="E15" s="167"/>
      <c r="F15" s="167"/>
      <c r="G15" s="167"/>
      <c r="H15" s="224"/>
      <c r="I15" s="168">
        <f>SUM(C15:G15)</f>
        <v>17829.37</v>
      </c>
      <c r="K15" s="163"/>
    </row>
    <row r="16" spans="1:11">
      <c r="A16" s="189"/>
      <c r="B16" s="165" t="s">
        <v>96</v>
      </c>
      <c r="C16" s="171">
        <v>6981.33</v>
      </c>
      <c r="D16" s="167"/>
      <c r="E16" s="167"/>
      <c r="F16" s="167"/>
      <c r="G16" s="167"/>
      <c r="H16" s="224"/>
      <c r="I16" s="168">
        <f t="shared" si="0"/>
        <v>6981.33</v>
      </c>
      <c r="K16" s="163"/>
    </row>
    <row r="17" spans="1:11">
      <c r="A17" s="189"/>
      <c r="B17" s="165" t="s">
        <v>383</v>
      </c>
      <c r="C17" s="171">
        <v>8992.11</v>
      </c>
      <c r="D17" s="167"/>
      <c r="E17" s="167"/>
      <c r="F17" s="167"/>
      <c r="G17" s="167"/>
      <c r="H17" s="224"/>
      <c r="I17" s="168">
        <f t="shared" si="0"/>
        <v>8992.11</v>
      </c>
      <c r="K17" s="163"/>
    </row>
    <row r="18" spans="1:11">
      <c r="A18" s="189"/>
      <c r="B18" s="165" t="s">
        <v>384</v>
      </c>
      <c r="C18" s="171">
        <v>13809.64</v>
      </c>
      <c r="D18" s="167"/>
      <c r="E18" s="167"/>
      <c r="F18" s="167"/>
      <c r="G18" s="167"/>
      <c r="H18" s="224"/>
      <c r="I18" s="168">
        <f t="shared" si="0"/>
        <v>13809.64</v>
      </c>
      <c r="K18" s="163"/>
    </row>
    <row r="19" spans="1:11">
      <c r="A19" s="189"/>
      <c r="B19" s="165" t="s">
        <v>101</v>
      </c>
      <c r="C19" s="171"/>
      <c r="D19" s="167">
        <v>19455.41</v>
      </c>
      <c r="E19" s="167"/>
      <c r="F19" s="167"/>
      <c r="G19" s="167"/>
      <c r="H19" s="224"/>
      <c r="I19" s="168">
        <f t="shared" si="0"/>
        <v>19455.41</v>
      </c>
      <c r="K19" s="163"/>
    </row>
    <row r="20" spans="1:11">
      <c r="A20" s="189"/>
      <c r="B20" s="165" t="s">
        <v>385</v>
      </c>
      <c r="C20" s="171"/>
      <c r="D20" s="167">
        <v>11239.66</v>
      </c>
      <c r="E20" s="167"/>
      <c r="F20" s="167"/>
      <c r="G20" s="167"/>
      <c r="H20" s="224"/>
      <c r="I20" s="168">
        <f t="shared" si="0"/>
        <v>11239.66</v>
      </c>
      <c r="K20" s="163"/>
    </row>
    <row r="21" spans="1:11">
      <c r="A21" s="189"/>
      <c r="B21" s="165" t="s">
        <v>108</v>
      </c>
      <c r="C21" s="171"/>
      <c r="D21" s="167">
        <v>632.51</v>
      </c>
      <c r="E21" s="167"/>
      <c r="F21" s="167"/>
      <c r="G21" s="167"/>
      <c r="H21" s="224"/>
      <c r="I21" s="168">
        <f t="shared" si="0"/>
        <v>632.51</v>
      </c>
      <c r="K21" s="163"/>
    </row>
    <row r="22" spans="1:11">
      <c r="A22" s="189"/>
      <c r="B22" s="165" t="s">
        <v>105</v>
      </c>
      <c r="C22" s="171"/>
      <c r="D22" s="167">
        <v>1486.37</v>
      </c>
      <c r="E22" s="167"/>
      <c r="F22" s="167"/>
      <c r="G22" s="167"/>
      <c r="H22" s="224"/>
      <c r="I22" s="168">
        <f t="shared" si="0"/>
        <v>1486.37</v>
      </c>
      <c r="K22" s="163"/>
    </row>
    <row r="23" spans="1:11">
      <c r="A23" s="189"/>
      <c r="B23" s="165" t="s">
        <v>386</v>
      </c>
      <c r="C23" s="171"/>
      <c r="D23" s="167">
        <v>1052.9100000000001</v>
      </c>
      <c r="E23" s="167"/>
      <c r="F23" s="167"/>
      <c r="G23" s="167"/>
      <c r="H23" s="224"/>
      <c r="I23" s="168">
        <f t="shared" si="0"/>
        <v>1052.9100000000001</v>
      </c>
      <c r="K23" s="163"/>
    </row>
    <row r="24" spans="1:11">
      <c r="A24" s="189"/>
      <c r="B24" s="165"/>
      <c r="C24" s="171"/>
      <c r="D24" s="167"/>
      <c r="E24" s="167"/>
      <c r="F24" s="167"/>
      <c r="G24" s="167"/>
      <c r="H24" s="224"/>
      <c r="I24" s="168"/>
      <c r="K24" s="163"/>
    </row>
    <row r="25" spans="1:11">
      <c r="A25" s="189" t="s">
        <v>23</v>
      </c>
      <c r="B25" s="165" t="s">
        <v>56</v>
      </c>
      <c r="C25" s="171"/>
      <c r="D25" s="167"/>
      <c r="E25" s="167">
        <v>8114.54</v>
      </c>
      <c r="F25" s="167"/>
      <c r="G25" s="167"/>
      <c r="H25" s="224"/>
      <c r="I25" s="168">
        <f t="shared" si="0"/>
        <v>8114.54</v>
      </c>
      <c r="K25" s="163"/>
    </row>
    <row r="26" spans="1:11">
      <c r="A26" s="189"/>
      <c r="B26" s="165"/>
      <c r="C26" s="171"/>
      <c r="D26" s="167"/>
      <c r="E26" s="167"/>
      <c r="F26" s="167"/>
      <c r="G26" s="167"/>
      <c r="H26" s="224"/>
      <c r="I26" s="168"/>
      <c r="K26" s="163"/>
    </row>
    <row r="27" spans="1:11">
      <c r="A27" s="189" t="s">
        <v>26</v>
      </c>
      <c r="B27" s="165" t="s">
        <v>43</v>
      </c>
      <c r="C27" s="171"/>
      <c r="D27" s="167"/>
      <c r="E27" s="167">
        <v>3686.27</v>
      </c>
      <c r="F27" s="167"/>
      <c r="G27" s="167"/>
      <c r="H27" s="224"/>
      <c r="I27" s="168">
        <f t="shared" si="0"/>
        <v>3686.27</v>
      </c>
      <c r="K27" s="163"/>
    </row>
    <row r="28" spans="1:11">
      <c r="A28" s="189"/>
      <c r="B28" s="165"/>
      <c r="C28" s="171"/>
      <c r="D28" s="167"/>
      <c r="E28" s="167"/>
      <c r="F28" s="167"/>
      <c r="G28" s="167"/>
      <c r="H28" s="224"/>
      <c r="I28" s="168"/>
      <c r="K28" s="163"/>
    </row>
    <row r="29" spans="1:11">
      <c r="A29" s="189" t="s">
        <v>27</v>
      </c>
      <c r="B29" s="165" t="s">
        <v>70</v>
      </c>
      <c r="C29" s="171"/>
      <c r="D29" s="167">
        <v>30000</v>
      </c>
      <c r="E29" s="167">
        <v>39031.949999999997</v>
      </c>
      <c r="F29" s="167"/>
      <c r="G29" s="167"/>
      <c r="H29" s="224"/>
      <c r="I29" s="168">
        <f>SUM(C29:H29)</f>
        <v>69031.95</v>
      </c>
      <c r="K29" s="163"/>
    </row>
    <row r="30" spans="1:11">
      <c r="A30" s="189"/>
      <c r="B30" s="165" t="s">
        <v>388</v>
      </c>
      <c r="C30" s="171">
        <v>20930.88</v>
      </c>
      <c r="D30" s="167"/>
      <c r="E30" s="167">
        <v>30000</v>
      </c>
      <c r="F30" s="167"/>
      <c r="G30" s="167"/>
      <c r="H30" s="224"/>
      <c r="I30" s="168">
        <f t="shared" ref="I30:I39" si="1">SUM(C30:H30)</f>
        <v>50930.880000000005</v>
      </c>
      <c r="K30" s="163"/>
    </row>
    <row r="31" spans="1:11">
      <c r="A31" s="189"/>
      <c r="B31" s="165" t="s">
        <v>389</v>
      </c>
      <c r="C31" s="171">
        <v>46205.120000000003</v>
      </c>
      <c r="D31" s="167"/>
      <c r="E31" s="167">
        <v>46205.120000000003</v>
      </c>
      <c r="F31" s="167"/>
      <c r="G31" s="167"/>
      <c r="H31" s="224"/>
      <c r="I31" s="168">
        <f t="shared" si="1"/>
        <v>92410.240000000005</v>
      </c>
      <c r="K31" s="163"/>
    </row>
    <row r="32" spans="1:11">
      <c r="A32" s="189"/>
      <c r="B32" s="165" t="s">
        <v>390</v>
      </c>
      <c r="C32" s="171"/>
      <c r="D32" s="167"/>
      <c r="E32" s="167">
        <v>10011.9</v>
      </c>
      <c r="F32" s="171">
        <v>10011.9</v>
      </c>
      <c r="G32" s="167"/>
      <c r="H32" s="224"/>
      <c r="I32" s="168">
        <f t="shared" si="1"/>
        <v>20023.8</v>
      </c>
      <c r="K32" s="163"/>
    </row>
    <row r="33" spans="1:11">
      <c r="A33" s="189"/>
      <c r="B33" s="165" t="s">
        <v>397</v>
      </c>
      <c r="C33" s="171"/>
      <c r="D33" s="167"/>
      <c r="E33" s="167"/>
      <c r="F33" s="167">
        <v>10542.25</v>
      </c>
      <c r="G33" s="167"/>
      <c r="H33" s="224"/>
      <c r="I33" s="168">
        <f t="shared" si="1"/>
        <v>10542.25</v>
      </c>
      <c r="K33" s="163"/>
    </row>
    <row r="34" spans="1:11">
      <c r="A34" s="189"/>
      <c r="B34" s="165" t="s">
        <v>391</v>
      </c>
      <c r="C34" s="171"/>
      <c r="D34" s="167"/>
      <c r="E34" s="167"/>
      <c r="F34" s="167"/>
      <c r="G34" s="167">
        <v>19200</v>
      </c>
      <c r="H34" s="224">
        <v>19200</v>
      </c>
      <c r="I34" s="168">
        <f t="shared" si="1"/>
        <v>38400</v>
      </c>
      <c r="K34" s="163"/>
    </row>
    <row r="35" spans="1:11">
      <c r="A35" s="189"/>
      <c r="B35" s="165" t="s">
        <v>392</v>
      </c>
      <c r="C35" s="171"/>
      <c r="D35" s="167"/>
      <c r="E35" s="167">
        <v>27650.52</v>
      </c>
      <c r="F35" s="167"/>
      <c r="G35" s="167"/>
      <c r="H35" s="224"/>
      <c r="I35" s="168">
        <f t="shared" si="1"/>
        <v>27650.52</v>
      </c>
      <c r="K35" s="163"/>
    </row>
    <row r="36" spans="1:11">
      <c r="A36" s="189"/>
      <c r="B36" s="165" t="s">
        <v>393</v>
      </c>
      <c r="C36" s="171"/>
      <c r="D36" s="167">
        <v>100000</v>
      </c>
      <c r="E36" s="167"/>
      <c r="F36" s="167">
        <v>132714.09</v>
      </c>
      <c r="G36" s="167"/>
      <c r="H36" s="224"/>
      <c r="I36" s="168">
        <f t="shared" si="1"/>
        <v>232714.09</v>
      </c>
      <c r="K36" s="163"/>
    </row>
    <row r="37" spans="1:11">
      <c r="A37" s="189"/>
      <c r="B37" s="165" t="s">
        <v>394</v>
      </c>
      <c r="C37" s="171"/>
      <c r="D37" s="167">
        <v>100000</v>
      </c>
      <c r="E37" s="167"/>
      <c r="F37" s="167">
        <v>125000</v>
      </c>
      <c r="G37" s="167"/>
      <c r="H37" s="224"/>
      <c r="I37" s="168">
        <f t="shared" si="1"/>
        <v>225000</v>
      </c>
      <c r="K37" s="163"/>
    </row>
    <row r="38" spans="1:11">
      <c r="A38" s="189"/>
      <c r="B38" s="165" t="s">
        <v>395</v>
      </c>
      <c r="C38" s="171"/>
      <c r="D38" s="167"/>
      <c r="E38" s="167"/>
      <c r="F38" s="167"/>
      <c r="G38" s="167">
        <v>32210</v>
      </c>
      <c r="H38" s="224">
        <v>32200</v>
      </c>
      <c r="I38" s="168">
        <f t="shared" si="1"/>
        <v>64410</v>
      </c>
      <c r="K38" s="163"/>
    </row>
    <row r="39" spans="1:11">
      <c r="A39" s="189"/>
      <c r="B39" s="165" t="s">
        <v>396</v>
      </c>
      <c r="C39" s="171"/>
      <c r="D39" s="167"/>
      <c r="E39" s="167"/>
      <c r="F39" s="167"/>
      <c r="G39" s="167">
        <v>15000</v>
      </c>
      <c r="H39" s="224">
        <v>26245</v>
      </c>
      <c r="I39" s="168">
        <f t="shared" si="1"/>
        <v>41245</v>
      </c>
      <c r="K39" s="163"/>
    </row>
    <row r="40" spans="1:11">
      <c r="A40" s="189"/>
      <c r="B40" s="165"/>
      <c r="C40" s="171"/>
      <c r="D40" s="167"/>
      <c r="E40" s="167"/>
      <c r="F40" s="167"/>
      <c r="G40" s="167"/>
      <c r="H40" s="224"/>
      <c r="I40" s="168"/>
      <c r="K40" s="163"/>
    </row>
    <row r="41" spans="1:11">
      <c r="A41" s="189" t="s">
        <v>28</v>
      </c>
      <c r="B41" s="166" t="s">
        <v>29</v>
      </c>
      <c r="C41" s="173"/>
      <c r="D41" s="167"/>
      <c r="E41" s="167">
        <v>3273.35</v>
      </c>
      <c r="F41" s="167"/>
      <c r="G41" s="167"/>
      <c r="H41" s="224"/>
      <c r="I41" s="168">
        <f t="shared" si="0"/>
        <v>3273.35</v>
      </c>
      <c r="K41" s="163"/>
    </row>
    <row r="42" spans="1:11">
      <c r="A42" s="189"/>
      <c r="B42" s="166"/>
      <c r="C42" s="173"/>
      <c r="D42" s="167"/>
      <c r="E42" s="167"/>
      <c r="F42" s="167"/>
      <c r="G42" s="167"/>
      <c r="H42" s="224"/>
      <c r="I42" s="168"/>
      <c r="K42" s="163"/>
    </row>
    <row r="43" spans="1:11">
      <c r="A43" s="189" t="s">
        <v>30</v>
      </c>
      <c r="B43" s="166" t="s">
        <v>31</v>
      </c>
      <c r="C43" s="173"/>
      <c r="D43" s="167"/>
      <c r="E43" s="167"/>
      <c r="F43" s="167">
        <v>37059.89</v>
      </c>
      <c r="G43" s="167"/>
      <c r="H43" s="224"/>
      <c r="I43" s="168">
        <f t="shared" si="0"/>
        <v>37059.89</v>
      </c>
      <c r="K43" s="163"/>
    </row>
    <row r="44" spans="1:11">
      <c r="A44" s="189"/>
      <c r="B44" s="166"/>
      <c r="C44" s="173"/>
      <c r="D44" s="167"/>
      <c r="E44" s="167"/>
      <c r="F44" s="167"/>
      <c r="G44" s="167"/>
      <c r="H44" s="224"/>
      <c r="I44" s="168"/>
      <c r="K44" s="163"/>
    </row>
    <row r="45" spans="1:11">
      <c r="A45" s="189" t="s">
        <v>32</v>
      </c>
      <c r="B45" s="165" t="s">
        <v>33</v>
      </c>
      <c r="C45" s="171"/>
      <c r="D45" s="167"/>
      <c r="E45" s="167">
        <v>11584.1</v>
      </c>
      <c r="F45" s="167"/>
      <c r="G45" s="167"/>
      <c r="H45" s="224"/>
      <c r="I45" s="168">
        <f t="shared" si="0"/>
        <v>11584.1</v>
      </c>
      <c r="K45" s="163"/>
    </row>
    <row r="46" spans="1:11">
      <c r="A46" s="189"/>
      <c r="B46" s="165"/>
      <c r="C46" s="171"/>
      <c r="D46" s="167"/>
      <c r="E46" s="167"/>
      <c r="F46" s="167"/>
      <c r="G46" s="167"/>
      <c r="H46" s="224"/>
      <c r="I46" s="168"/>
      <c r="K46" s="163"/>
    </row>
    <row r="47" spans="1:11">
      <c r="A47" s="189" t="s">
        <v>34</v>
      </c>
      <c r="B47" s="165" t="s">
        <v>35</v>
      </c>
      <c r="C47" s="171"/>
      <c r="D47" s="167"/>
      <c r="E47" s="167">
        <v>6607.9</v>
      </c>
      <c r="F47" s="167"/>
      <c r="G47" s="167"/>
      <c r="H47" s="224"/>
      <c r="I47" s="168">
        <f t="shared" si="0"/>
        <v>6607.9</v>
      </c>
      <c r="K47" s="163"/>
    </row>
    <row r="48" spans="1:11">
      <c r="A48" s="189"/>
      <c r="B48" s="165"/>
      <c r="C48" s="171"/>
      <c r="D48" s="167"/>
      <c r="E48" s="167"/>
      <c r="F48" s="167"/>
      <c r="G48" s="167"/>
      <c r="H48" s="224"/>
      <c r="I48" s="168"/>
      <c r="K48" s="163"/>
    </row>
    <row r="49" spans="1:11">
      <c r="A49" s="189" t="s">
        <v>36</v>
      </c>
      <c r="B49" s="165" t="s">
        <v>37</v>
      </c>
      <c r="C49" s="171"/>
      <c r="D49" s="167"/>
      <c r="E49" s="167">
        <v>4514.3999999999996</v>
      </c>
      <c r="F49" s="167"/>
      <c r="G49" s="167"/>
      <c r="H49" s="224"/>
      <c r="I49" s="168">
        <f t="shared" si="0"/>
        <v>4514.3999999999996</v>
      </c>
      <c r="K49" s="163"/>
    </row>
    <row r="50" spans="1:11">
      <c r="A50" s="189"/>
      <c r="B50" s="165"/>
      <c r="C50" s="171"/>
      <c r="D50" s="173"/>
      <c r="E50" s="173"/>
      <c r="F50" s="173"/>
      <c r="G50" s="173"/>
      <c r="H50" s="226"/>
      <c r="I50" s="168"/>
      <c r="K50" s="163"/>
    </row>
    <row r="51" spans="1:11">
      <c r="A51" s="189"/>
      <c r="B51" s="164" t="s">
        <v>366</v>
      </c>
      <c r="C51" s="174">
        <f t="shared" ref="C51:H51" si="2">SUM(C10:C49)</f>
        <v>130461.26000000001</v>
      </c>
      <c r="D51" s="174">
        <f t="shared" si="2"/>
        <v>278866.86</v>
      </c>
      <c r="E51" s="174">
        <f t="shared" si="2"/>
        <v>200680.05</v>
      </c>
      <c r="F51" s="174">
        <f t="shared" si="2"/>
        <v>325328.13</v>
      </c>
      <c r="G51" s="174">
        <f t="shared" si="2"/>
        <v>76410</v>
      </c>
      <c r="H51" s="174">
        <f t="shared" si="2"/>
        <v>85518.18</v>
      </c>
      <c r="I51" s="168">
        <f>SUM(I10:I49)-0.02</f>
        <v>1097264.4599999997</v>
      </c>
    </row>
    <row r="52" spans="1:11">
      <c r="A52" s="189"/>
      <c r="B52" s="164" t="s">
        <v>367</v>
      </c>
      <c r="C52" s="174">
        <f>C51</f>
        <v>130461.26000000001</v>
      </c>
      <c r="D52" s="175">
        <f>C52+D51</f>
        <v>409328.12</v>
      </c>
      <c r="E52" s="175">
        <f>D52+E51</f>
        <v>610008.16999999993</v>
      </c>
      <c r="F52" s="175">
        <f>E52+F51</f>
        <v>935336.29999999993</v>
      </c>
      <c r="G52" s="175">
        <f>F52+G51-0.02</f>
        <v>1011746.2799999999</v>
      </c>
      <c r="H52" s="175">
        <f>G52+H51-0.02</f>
        <v>1097264.44</v>
      </c>
      <c r="I52" s="168"/>
    </row>
    <row r="53" spans="1:11">
      <c r="A53" s="189"/>
      <c r="B53" s="164" t="s">
        <v>368</v>
      </c>
      <c r="C53" s="190">
        <f>C51/H52</f>
        <v>0.11889682673030032</v>
      </c>
      <c r="D53" s="190">
        <f>D51/H52</f>
        <v>0.25414735940955124</v>
      </c>
      <c r="E53" s="190">
        <f>E51/H52</f>
        <v>0.18289123631856694</v>
      </c>
      <c r="F53" s="190">
        <f>F51/H52</f>
        <v>0.29649017879409273</v>
      </c>
      <c r="G53" s="190">
        <f>G51/H52</f>
        <v>6.9636814257828319E-2</v>
      </c>
      <c r="H53" s="190">
        <f>H51/H52</f>
        <v>7.7937620943954039E-2</v>
      </c>
      <c r="I53" s="168"/>
    </row>
    <row r="54" spans="1:11">
      <c r="A54" s="189"/>
      <c r="B54" s="164" t="s">
        <v>369</v>
      </c>
      <c r="C54" s="190">
        <f>C53</f>
        <v>0.11889682673030032</v>
      </c>
      <c r="D54" s="191">
        <f>C54+D53</f>
        <v>0.37304418613985157</v>
      </c>
      <c r="E54" s="191">
        <f>D54+E53</f>
        <v>0.55593542245841854</v>
      </c>
      <c r="F54" s="191">
        <f>E54+F53</f>
        <v>0.85242560125251132</v>
      </c>
      <c r="G54" s="191">
        <f>F54+G53</f>
        <v>0.92206241551033963</v>
      </c>
      <c r="H54" s="191">
        <f>G54+H53</f>
        <v>1.0000000364542936</v>
      </c>
      <c r="I54" s="168"/>
    </row>
    <row r="55" spans="1:11">
      <c r="A55" s="189"/>
      <c r="B55" s="165"/>
      <c r="C55" s="172"/>
      <c r="D55" s="176"/>
      <c r="E55" s="176"/>
      <c r="F55" s="176"/>
      <c r="G55" s="176"/>
      <c r="H55" s="225"/>
      <c r="I55" s="168"/>
    </row>
    <row r="56" spans="1:11">
      <c r="A56" s="189"/>
      <c r="B56" s="165"/>
      <c r="C56" s="172"/>
      <c r="D56" s="176"/>
      <c r="E56" s="176"/>
      <c r="F56" s="176"/>
      <c r="G56" s="176"/>
      <c r="H56" s="225"/>
      <c r="I56" s="168"/>
    </row>
    <row r="57" spans="1:11">
      <c r="A57" s="169"/>
      <c r="B57" s="176" t="s">
        <v>365</v>
      </c>
      <c r="C57" s="222">
        <f>SUM(C10:C49) - SUM(C30:C39)</f>
        <v>63325.260000000009</v>
      </c>
      <c r="D57" s="222">
        <f t="shared" ref="D57:H57" si="3">SUM(D10:D49) - SUM(D30:D39)</f>
        <v>78866.859999999986</v>
      </c>
      <c r="E57" s="222">
        <f t="shared" si="3"/>
        <v>86812.51</v>
      </c>
      <c r="F57" s="222">
        <f t="shared" si="3"/>
        <v>47059.890000000014</v>
      </c>
      <c r="G57" s="222">
        <f t="shared" si="3"/>
        <v>10000</v>
      </c>
      <c r="H57" s="222">
        <f t="shared" si="3"/>
        <v>7873.179999999993</v>
      </c>
      <c r="I57" s="168"/>
    </row>
    <row r="58" spans="1:11">
      <c r="A58" s="169"/>
      <c r="B58" s="176" t="s">
        <v>402</v>
      </c>
      <c r="C58" s="222">
        <f>C57*23.92/100+4.02</f>
        <v>15151.422192000004</v>
      </c>
      <c r="D58" s="222">
        <f t="shared" ref="D58:H58" si="4">D57*23.92/100</f>
        <v>18864.952911999997</v>
      </c>
      <c r="E58" s="222">
        <f t="shared" si="4"/>
        <v>20765.552391999998</v>
      </c>
      <c r="F58" s="222">
        <f t="shared" si="4"/>
        <v>11256.725688000004</v>
      </c>
      <c r="G58" s="222">
        <f t="shared" si="4"/>
        <v>2392.0000000000005</v>
      </c>
      <c r="H58" s="222">
        <f t="shared" si="4"/>
        <v>1883.2646559999985</v>
      </c>
      <c r="I58" s="178"/>
    </row>
    <row r="59" spans="1:11">
      <c r="A59" s="227"/>
      <c r="B59" s="228" t="s">
        <v>398</v>
      </c>
      <c r="C59" s="229">
        <f>C57+C58</f>
        <v>78476.682192000007</v>
      </c>
      <c r="D59" s="229">
        <f t="shared" ref="D59:H59" si="5">D57+D58</f>
        <v>97731.812911999979</v>
      </c>
      <c r="E59" s="229">
        <f t="shared" si="5"/>
        <v>107578.06239199999</v>
      </c>
      <c r="F59" s="229">
        <f t="shared" si="5"/>
        <v>58316.61568800002</v>
      </c>
      <c r="G59" s="229">
        <f t="shared" si="5"/>
        <v>12392</v>
      </c>
      <c r="H59" s="229">
        <f t="shared" si="5"/>
        <v>9756.4446559999924</v>
      </c>
      <c r="I59" s="230">
        <f>SUM(C59:H59)</f>
        <v>364251.61783999996</v>
      </c>
    </row>
    <row r="60" spans="1:11">
      <c r="A60" s="227"/>
      <c r="B60" s="228"/>
      <c r="C60" s="229"/>
      <c r="D60" s="229"/>
      <c r="E60" s="229"/>
      <c r="F60" s="229"/>
      <c r="G60" s="229"/>
      <c r="H60" s="229"/>
      <c r="I60" s="230"/>
      <c r="K60" s="163"/>
    </row>
    <row r="61" spans="1:11">
      <c r="A61" s="227"/>
      <c r="B61" s="228" t="s">
        <v>365</v>
      </c>
      <c r="C61" s="229">
        <f>SUM(C30:C39)</f>
        <v>67136</v>
      </c>
      <c r="D61" s="229">
        <f t="shared" ref="D61:H61" si="6">SUM(D30:D39)</f>
        <v>200000</v>
      </c>
      <c r="E61" s="229">
        <f t="shared" si="6"/>
        <v>113867.54</v>
      </c>
      <c r="F61" s="229">
        <f t="shared" si="6"/>
        <v>278268.24</v>
      </c>
      <c r="G61" s="229">
        <f t="shared" si="6"/>
        <v>66410</v>
      </c>
      <c r="H61" s="229">
        <f t="shared" si="6"/>
        <v>77645</v>
      </c>
      <c r="I61" s="230"/>
    </row>
    <row r="62" spans="1:11">
      <c r="A62" s="227"/>
      <c r="B62" s="228" t="s">
        <v>401</v>
      </c>
      <c r="C62" s="229">
        <f>C61*0.1558</f>
        <v>10459.7888</v>
      </c>
      <c r="D62" s="229">
        <f t="shared" ref="D62:H62" si="7">D61*0.1558</f>
        <v>31160</v>
      </c>
      <c r="E62" s="229">
        <f t="shared" si="7"/>
        <v>17740.562731999999</v>
      </c>
      <c r="F62" s="229">
        <f t="shared" si="7"/>
        <v>43354.191791999998</v>
      </c>
      <c r="G62" s="229">
        <f t="shared" si="7"/>
        <v>10346.678</v>
      </c>
      <c r="H62" s="229">
        <f t="shared" si="7"/>
        <v>12097.091</v>
      </c>
      <c r="I62" s="230"/>
    </row>
    <row r="63" spans="1:11">
      <c r="A63" s="227"/>
      <c r="B63" s="228" t="s">
        <v>399</v>
      </c>
      <c r="C63" s="229">
        <f>C61+C62</f>
        <v>77595.788799999995</v>
      </c>
      <c r="D63" s="229">
        <f t="shared" ref="D63:H63" si="8">D61+D62</f>
        <v>231160</v>
      </c>
      <c r="E63" s="229">
        <f t="shared" si="8"/>
        <v>131608.102732</v>
      </c>
      <c r="F63" s="229">
        <f t="shared" si="8"/>
        <v>321622.43179199996</v>
      </c>
      <c r="G63" s="229">
        <f t="shared" si="8"/>
        <v>76756.678</v>
      </c>
      <c r="H63" s="229">
        <f t="shared" si="8"/>
        <v>89742.091</v>
      </c>
      <c r="I63" s="230">
        <f>SUM(C63:H63)</f>
        <v>928485.09232399997</v>
      </c>
    </row>
    <row r="64" spans="1:11">
      <c r="A64" s="227"/>
      <c r="B64" s="228"/>
      <c r="C64" s="229"/>
      <c r="D64" s="229"/>
      <c r="E64" s="229"/>
      <c r="F64" s="229"/>
      <c r="G64" s="229"/>
      <c r="H64" s="229"/>
      <c r="I64" s="230"/>
      <c r="K64" s="163"/>
    </row>
    <row r="65" spans="1:9" ht="15.75" thickBot="1">
      <c r="A65" s="170"/>
      <c r="B65" s="177" t="s">
        <v>400</v>
      </c>
      <c r="C65" s="223">
        <f>C59+C63</f>
        <v>156072.47099200002</v>
      </c>
      <c r="D65" s="223">
        <f t="shared" ref="D65:H65" si="9">D59+D63</f>
        <v>328891.81291199999</v>
      </c>
      <c r="E65" s="223">
        <f t="shared" si="9"/>
        <v>239186.16512399999</v>
      </c>
      <c r="F65" s="223">
        <f t="shared" si="9"/>
        <v>379939.04747999995</v>
      </c>
      <c r="G65" s="223">
        <f t="shared" si="9"/>
        <v>89148.678</v>
      </c>
      <c r="H65" s="223">
        <f t="shared" si="9"/>
        <v>99498.535655999993</v>
      </c>
      <c r="I65" s="179">
        <f>SUM(C65:H65)</f>
        <v>1292736.710164</v>
      </c>
    </row>
    <row r="66" spans="1:9">
      <c r="I66" s="163"/>
    </row>
    <row r="67" spans="1:9">
      <c r="I67" s="163"/>
    </row>
    <row r="68" spans="1:9">
      <c r="I68" s="163"/>
    </row>
    <row r="69" spans="1:9">
      <c r="I69" s="163"/>
    </row>
    <row r="70" spans="1:9">
      <c r="I70" s="163"/>
    </row>
    <row r="71" spans="1:9">
      <c r="I71" s="163"/>
    </row>
    <row r="72" spans="1:9">
      <c r="I72" s="163"/>
    </row>
    <row r="73" spans="1:9">
      <c r="I73" s="163"/>
    </row>
  </sheetData>
  <mergeCells count="6">
    <mergeCell ref="H2:I7"/>
    <mergeCell ref="B2:G2"/>
    <mergeCell ref="B3:G3"/>
    <mergeCell ref="B4:G4"/>
    <mergeCell ref="A6:G6"/>
    <mergeCell ref="A7:G7"/>
  </mergeCells>
  <pageMargins left="0.70866141732283472" right="0.51181102362204722" top="0.78740157480314965" bottom="0.78740157480314965" header="0.31496062992125984" footer="0.31496062992125984"/>
  <pageSetup paperSize="9" scale="8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AI178"/>
  <sheetViews>
    <sheetView topLeftCell="A145" zoomScale="75" zoomScaleNormal="75" workbookViewId="0">
      <selection activeCell="J171" sqref="B1:K171"/>
    </sheetView>
  </sheetViews>
  <sheetFormatPr defaultRowHeight="23.25" customHeight="1"/>
  <cols>
    <col min="1" max="1" width="2.28515625" customWidth="1"/>
    <col min="2" max="2" width="11" style="1" customWidth="1"/>
    <col min="3" max="3" width="15.85546875" style="1" customWidth="1"/>
    <col min="4" max="4" width="81.140625" style="2" customWidth="1"/>
    <col min="5" max="5" width="80.5703125" style="2" hidden="1" customWidth="1"/>
    <col min="6" max="6" width="9.42578125" style="1" customWidth="1"/>
    <col min="7" max="7" width="13.85546875" style="3" customWidth="1"/>
    <col min="8" max="8" width="19.140625" hidden="1" customWidth="1"/>
    <col min="9" max="9" width="17.5703125" customWidth="1"/>
    <col min="10" max="10" width="19.140625" customWidth="1"/>
    <col min="11" max="11" width="22.28515625" style="1" hidden="1" customWidth="1"/>
    <col min="12" max="12" width="3" customWidth="1"/>
    <col min="13" max="13" width="16.7109375" bestFit="1" customWidth="1"/>
    <col min="14" max="14" width="34.42578125" bestFit="1" customWidth="1"/>
    <col min="15" max="15" width="2.85546875" customWidth="1"/>
    <col min="16" max="16" width="44.140625" bestFit="1" customWidth="1"/>
    <col min="17" max="17" width="3.7109375" customWidth="1"/>
    <col min="18" max="18" width="41.42578125" bestFit="1" customWidth="1"/>
    <col min="22" max="22" width="18.85546875" customWidth="1"/>
  </cols>
  <sheetData>
    <row r="1" spans="2:26" ht="23.25" customHeight="1" thickBot="1">
      <c r="B1" s="207"/>
      <c r="C1" s="208"/>
      <c r="D1" s="208"/>
      <c r="E1" s="208"/>
      <c r="F1" s="208"/>
      <c r="G1" s="208"/>
      <c r="H1" s="208"/>
      <c r="I1" s="208"/>
      <c r="J1" s="208"/>
      <c r="K1" s="209"/>
    </row>
    <row r="2" spans="2:26" ht="23.25" customHeight="1">
      <c r="B2" s="144"/>
      <c r="C2" s="258" t="s">
        <v>341</v>
      </c>
      <c r="D2" s="258"/>
      <c r="E2" s="258"/>
      <c r="F2" s="258"/>
      <c r="G2" s="258"/>
      <c r="H2" s="258"/>
      <c r="I2" s="258"/>
      <c r="J2" s="258"/>
      <c r="K2" s="259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</row>
    <row r="3" spans="2:26" ht="23.25" customHeight="1">
      <c r="B3" s="145"/>
      <c r="C3" s="260" t="s">
        <v>342</v>
      </c>
      <c r="D3" s="260"/>
      <c r="E3" s="260"/>
      <c r="F3" s="260"/>
      <c r="G3" s="260"/>
      <c r="H3" s="260"/>
      <c r="I3" s="260"/>
      <c r="J3" s="260"/>
      <c r="K3" s="261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</row>
    <row r="4" spans="2:26" ht="23.25" customHeight="1">
      <c r="B4" s="145"/>
      <c r="C4" s="262" t="s">
        <v>343</v>
      </c>
      <c r="D4" s="262"/>
      <c r="E4" s="262"/>
      <c r="F4" s="262"/>
      <c r="G4" s="262"/>
      <c r="H4" s="262"/>
      <c r="I4" s="262"/>
      <c r="J4" s="262"/>
      <c r="K4" s="263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</row>
    <row r="5" spans="2:26" ht="23.25" customHeight="1" thickBot="1">
      <c r="B5" s="146"/>
      <c r="C5" s="147"/>
      <c r="D5" s="147"/>
      <c r="E5" s="147"/>
      <c r="F5" s="147"/>
      <c r="G5" s="147"/>
      <c r="H5" s="147"/>
      <c r="I5" s="147"/>
      <c r="J5" s="147"/>
      <c r="K5" s="148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</row>
    <row r="6" spans="2:26" ht="23.25" customHeight="1" thickBot="1">
      <c r="B6" s="252" t="s">
        <v>345</v>
      </c>
      <c r="C6" s="253"/>
      <c r="D6" s="253"/>
      <c r="E6" s="253"/>
      <c r="F6" s="253"/>
      <c r="G6" s="253"/>
      <c r="H6" s="253"/>
      <c r="I6" s="253"/>
      <c r="J6" s="253"/>
      <c r="K6" s="254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</row>
    <row r="7" spans="2:26" ht="23.25" customHeight="1" thickBot="1">
      <c r="B7" s="255" t="s">
        <v>344</v>
      </c>
      <c r="C7" s="256"/>
      <c r="D7" s="256"/>
      <c r="E7" s="256"/>
      <c r="F7" s="256"/>
      <c r="G7" s="256"/>
      <c r="H7" s="256"/>
      <c r="I7" s="256"/>
      <c r="J7" s="256"/>
      <c r="K7" s="257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</row>
    <row r="8" spans="2:26" ht="23.25" customHeight="1" thickBot="1">
      <c r="B8" s="210"/>
      <c r="C8" s="6"/>
      <c r="D8" s="7"/>
      <c r="E8" s="7"/>
      <c r="F8" s="8"/>
      <c r="G8" s="11"/>
      <c r="H8" s="12"/>
      <c r="I8" s="12"/>
      <c r="J8" s="12"/>
      <c r="K8" s="211"/>
    </row>
    <row r="9" spans="2:26" ht="23.25" customHeight="1">
      <c r="B9" s="248" t="s">
        <v>0</v>
      </c>
      <c r="C9" s="250" t="s">
        <v>42</v>
      </c>
      <c r="D9" s="243" t="s">
        <v>1</v>
      </c>
      <c r="E9" s="285" t="s">
        <v>403</v>
      </c>
      <c r="F9" s="243" t="s">
        <v>2</v>
      </c>
      <c r="G9" s="237" t="s">
        <v>370</v>
      </c>
      <c r="H9" s="231" t="s">
        <v>373</v>
      </c>
      <c r="I9" s="250" t="s">
        <v>375</v>
      </c>
      <c r="J9" s="250" t="s">
        <v>376</v>
      </c>
      <c r="K9" s="235" t="s">
        <v>374</v>
      </c>
    </row>
    <row r="10" spans="2:26" ht="23.25" customHeight="1" thickBot="1">
      <c r="B10" s="249"/>
      <c r="C10" s="251"/>
      <c r="D10" s="244"/>
      <c r="E10" s="286"/>
      <c r="F10" s="244"/>
      <c r="G10" s="238"/>
      <c r="H10" s="232"/>
      <c r="I10" s="251"/>
      <c r="J10" s="251"/>
      <c r="K10" s="236"/>
      <c r="M10" s="16"/>
      <c r="N10" s="13"/>
    </row>
    <row r="11" spans="2:26" ht="23.25" customHeight="1" thickBot="1">
      <c r="B11" s="145"/>
      <c r="C11" s="212"/>
      <c r="D11" s="213"/>
      <c r="E11" s="213"/>
      <c r="F11" s="212"/>
      <c r="G11" s="214"/>
      <c r="H11" s="5"/>
      <c r="I11" s="5"/>
      <c r="J11" s="5"/>
      <c r="K11" s="215"/>
      <c r="M11" s="16"/>
    </row>
    <row r="12" spans="2:26" ht="23.25" customHeight="1" thickBot="1">
      <c r="B12" s="24" t="s">
        <v>3</v>
      </c>
      <c r="C12" s="234" t="s">
        <v>39</v>
      </c>
      <c r="D12" s="234"/>
      <c r="E12" s="220"/>
      <c r="F12" s="25"/>
      <c r="G12" s="31"/>
      <c r="H12" s="32"/>
      <c r="I12" s="32"/>
      <c r="J12" s="33">
        <f>SUM(J13:J15)</f>
        <v>67873.175550000014</v>
      </c>
      <c r="K12" s="28">
        <f>SUM(K13:K15)</f>
        <v>60591.005000000005</v>
      </c>
      <c r="M12" s="16"/>
    </row>
    <row r="13" spans="2:26" ht="23.25" customHeight="1" thickBot="1">
      <c r="B13" s="18" t="s">
        <v>144</v>
      </c>
      <c r="C13" s="19" t="s">
        <v>4</v>
      </c>
      <c r="D13" s="20" t="s">
        <v>371</v>
      </c>
      <c r="E13" s="20" t="s">
        <v>404</v>
      </c>
      <c r="F13" s="19" t="s">
        <v>5</v>
      </c>
      <c r="G13" s="70">
        <v>150</v>
      </c>
      <c r="H13" s="149">
        <v>373.47070000000002</v>
      </c>
      <c r="I13" s="149">
        <f>H13*1.11</f>
        <v>414.55247700000007</v>
      </c>
      <c r="J13" s="149">
        <f>I13*G13</f>
        <v>62182.871550000011</v>
      </c>
      <c r="K13" s="23">
        <f>G13*H13</f>
        <v>56020.605000000003</v>
      </c>
      <c r="M13" s="136"/>
      <c r="N13" s="137"/>
      <c r="P13" s="137"/>
      <c r="R13" s="137"/>
    </row>
    <row r="14" spans="2:26" ht="23.25" customHeight="1" thickBot="1">
      <c r="B14" s="18" t="s">
        <v>347</v>
      </c>
      <c r="C14" s="157" t="s">
        <v>349</v>
      </c>
      <c r="D14" s="158" t="s">
        <v>348</v>
      </c>
      <c r="E14" s="158" t="s">
        <v>405</v>
      </c>
      <c r="F14" s="159" t="s">
        <v>7</v>
      </c>
      <c r="G14" s="150">
        <v>6</v>
      </c>
      <c r="H14" s="41">
        <v>278</v>
      </c>
      <c r="I14" s="41">
        <f t="shared" ref="I14:I17" si="0">H14*1.11</f>
        <v>308.58000000000004</v>
      </c>
      <c r="J14" s="41">
        <f t="shared" ref="J14:J17" si="1">I14*G14</f>
        <v>1851.4800000000002</v>
      </c>
      <c r="K14" s="151">
        <v>1112</v>
      </c>
      <c r="M14" s="136"/>
      <c r="N14" s="137"/>
    </row>
    <row r="15" spans="2:26" ht="23.25" customHeight="1" thickBot="1">
      <c r="B15" s="18" t="s">
        <v>145</v>
      </c>
      <c r="C15" s="50" t="s">
        <v>9</v>
      </c>
      <c r="D15" s="60" t="s">
        <v>10</v>
      </c>
      <c r="E15" s="60" t="s">
        <v>406</v>
      </c>
      <c r="F15" s="50" t="s">
        <v>7</v>
      </c>
      <c r="G15" s="46">
        <v>120</v>
      </c>
      <c r="H15" s="47">
        <v>28.82</v>
      </c>
      <c r="I15" s="47">
        <f t="shared" si="0"/>
        <v>31.990200000000002</v>
      </c>
      <c r="J15" s="47">
        <f t="shared" si="1"/>
        <v>3838.8240000000001</v>
      </c>
      <c r="K15" s="53">
        <f t="shared" ref="K15" si="2">G15*H15</f>
        <v>3458.4</v>
      </c>
      <c r="M15" s="16"/>
    </row>
    <row r="16" spans="2:26" ht="23.25" customHeight="1" thickBot="1">
      <c r="B16" s="29" t="s">
        <v>11</v>
      </c>
      <c r="C16" s="233" t="s">
        <v>12</v>
      </c>
      <c r="D16" s="233"/>
      <c r="E16" s="219"/>
      <c r="F16" s="30"/>
      <c r="G16" s="195"/>
      <c r="H16" s="196"/>
      <c r="I16" s="196"/>
      <c r="J16" s="197">
        <f>J17</f>
        <v>712.81015632000003</v>
      </c>
      <c r="K16" s="33">
        <f>K17</f>
        <v>642.17131199999994</v>
      </c>
      <c r="M16" s="16" t="s">
        <v>47</v>
      </c>
    </row>
    <row r="17" spans="2:35" ht="23.25" customHeight="1" thickBot="1">
      <c r="B17" s="18" t="s">
        <v>89</v>
      </c>
      <c r="C17" s="19" t="s">
        <v>90</v>
      </c>
      <c r="D17" s="20" t="s">
        <v>14</v>
      </c>
      <c r="E17" s="20" t="s">
        <v>407</v>
      </c>
      <c r="F17" s="19" t="s">
        <v>13</v>
      </c>
      <c r="G17" s="21">
        <v>11.26</v>
      </c>
      <c r="H17" s="22">
        <v>57.031199999999998</v>
      </c>
      <c r="I17" s="194">
        <f t="shared" si="0"/>
        <v>63.304632000000005</v>
      </c>
      <c r="J17" s="194">
        <f t="shared" si="1"/>
        <v>712.81015632000003</v>
      </c>
      <c r="K17" s="23">
        <f t="shared" ref="K17" si="3">G17*H17</f>
        <v>642.17131199999994</v>
      </c>
      <c r="M17" s="13"/>
    </row>
    <row r="18" spans="2:35" ht="23.25" customHeight="1" thickBot="1">
      <c r="B18" s="29" t="s">
        <v>15</v>
      </c>
      <c r="C18" s="233" t="s">
        <v>107</v>
      </c>
      <c r="D18" s="233"/>
      <c r="E18" s="219"/>
      <c r="F18" s="30"/>
      <c r="G18" s="31"/>
      <c r="H18" s="32"/>
      <c r="I18" s="32"/>
      <c r="J18" s="33">
        <f>J19+J29+J35+J42+J48+J55+J61+J66+J71</f>
        <v>81479.295662370001</v>
      </c>
      <c r="K18" s="33">
        <f>K19+K29+K35+K42+K48+K55+K61+K66+K71</f>
        <v>73404.770866999999</v>
      </c>
      <c r="M18" s="16" t="s">
        <v>47</v>
      </c>
    </row>
    <row r="19" spans="2:35" ht="23.25" customHeight="1" thickBot="1">
      <c r="B19" s="69" t="s">
        <v>81</v>
      </c>
      <c r="C19" s="78" t="s">
        <v>465</v>
      </c>
      <c r="D19" s="78"/>
      <c r="E19" s="78"/>
      <c r="F19" s="78"/>
      <c r="G19" s="72"/>
      <c r="H19" s="72"/>
      <c r="I19" s="72"/>
      <c r="J19" s="81">
        <f>SUM(J20:J28)</f>
        <v>17829.369495510004</v>
      </c>
      <c r="K19" s="79">
        <f>SUM(K20:K28)</f>
        <v>16062.495041</v>
      </c>
      <c r="M19" s="55"/>
      <c r="N19" s="16"/>
      <c r="AI19" s="17"/>
    </row>
    <row r="20" spans="2:35" ht="23.25" customHeight="1">
      <c r="B20" s="18" t="s">
        <v>80</v>
      </c>
      <c r="C20" s="19" t="s">
        <v>88</v>
      </c>
      <c r="D20" s="20" t="s">
        <v>87</v>
      </c>
      <c r="E20" s="20" t="s">
        <v>415</v>
      </c>
      <c r="F20" s="19" t="s">
        <v>13</v>
      </c>
      <c r="G20" s="70">
        <v>1.1200000000000001</v>
      </c>
      <c r="H20" s="149">
        <f>93.17*0.89</f>
        <v>82.921300000000002</v>
      </c>
      <c r="I20" s="149">
        <f t="shared" ref="I20:I59" si="4">H20*1.11</f>
        <v>92.042643000000012</v>
      </c>
      <c r="J20" s="149">
        <f t="shared" ref="J20:J26" si="5">I20*G20</f>
        <v>103.08776016000003</v>
      </c>
      <c r="K20" s="23">
        <f>G20*H20</f>
        <v>92.871856000000008</v>
      </c>
      <c r="M20" s="55"/>
      <c r="N20" s="16"/>
      <c r="AI20" s="17"/>
    </row>
    <row r="21" spans="2:35" ht="23.25" customHeight="1">
      <c r="B21" s="42" t="s">
        <v>82</v>
      </c>
      <c r="C21" s="38" t="s">
        <v>92</v>
      </c>
      <c r="D21" s="54" t="s">
        <v>16</v>
      </c>
      <c r="E21" s="54" t="s">
        <v>408</v>
      </c>
      <c r="F21" s="38" t="s">
        <v>7</v>
      </c>
      <c r="G21" s="40">
        <v>66.48</v>
      </c>
      <c r="H21" s="41">
        <v>45.29</v>
      </c>
      <c r="I21" s="41">
        <f t="shared" si="4"/>
        <v>50.271900000000002</v>
      </c>
      <c r="J21" s="41">
        <f t="shared" si="5"/>
        <v>3342.0759120000002</v>
      </c>
      <c r="K21" s="43">
        <f>G21*H21</f>
        <v>3010.8792000000003</v>
      </c>
      <c r="M21" s="55"/>
      <c r="N21" s="16"/>
      <c r="AI21" s="17"/>
    </row>
    <row r="22" spans="2:35" ht="23.25" customHeight="1">
      <c r="B22" s="42" t="s">
        <v>83</v>
      </c>
      <c r="C22" s="38" t="s">
        <v>55</v>
      </c>
      <c r="D22" s="54" t="s">
        <v>54</v>
      </c>
      <c r="E22" s="54" t="s">
        <v>409</v>
      </c>
      <c r="F22" s="38" t="s">
        <v>13</v>
      </c>
      <c r="G22" s="40">
        <v>11</v>
      </c>
      <c r="H22" s="41">
        <f>427.21*0.89</f>
        <v>380.21690000000001</v>
      </c>
      <c r="I22" s="41">
        <f t="shared" si="4"/>
        <v>422.04075900000004</v>
      </c>
      <c r="J22" s="41">
        <f t="shared" si="5"/>
        <v>4642.4483490000002</v>
      </c>
      <c r="K22" s="43">
        <f>G22*H22</f>
        <v>4182.3859000000002</v>
      </c>
      <c r="M22" s="55"/>
      <c r="N22" s="16"/>
      <c r="AI22" s="17"/>
    </row>
    <row r="23" spans="2:35" ht="23.25" customHeight="1">
      <c r="B23" s="42" t="s">
        <v>84</v>
      </c>
      <c r="C23" s="38" t="s">
        <v>51</v>
      </c>
      <c r="D23" s="39" t="s">
        <v>50</v>
      </c>
      <c r="E23" s="39" t="s">
        <v>410</v>
      </c>
      <c r="F23" s="38" t="s">
        <v>17</v>
      </c>
      <c r="G23" s="40">
        <v>138.61000000000001</v>
      </c>
      <c r="H23" s="41">
        <f>3.69*0.89</f>
        <v>3.2841</v>
      </c>
      <c r="I23" s="41">
        <f t="shared" si="4"/>
        <v>3.6453510000000002</v>
      </c>
      <c r="J23" s="41">
        <f t="shared" si="5"/>
        <v>505.2821021100001</v>
      </c>
      <c r="K23" s="43">
        <f t="shared" ref="K23:K28" si="6">G23*H23</f>
        <v>455.20910100000003</v>
      </c>
      <c r="M23" s="88"/>
      <c r="N23" s="89"/>
      <c r="O23" s="88"/>
      <c r="P23" s="74"/>
      <c r="Q23" s="75"/>
      <c r="R23" s="75"/>
      <c r="AI23" s="17"/>
    </row>
    <row r="24" spans="2:35" ht="23.25" customHeight="1">
      <c r="B24" s="42" t="s">
        <v>85</v>
      </c>
      <c r="C24" s="38" t="s">
        <v>53</v>
      </c>
      <c r="D24" s="54" t="s">
        <v>153</v>
      </c>
      <c r="E24" s="54" t="s">
        <v>411</v>
      </c>
      <c r="F24" s="38" t="s">
        <v>17</v>
      </c>
      <c r="G24" s="40">
        <v>138.61000000000001</v>
      </c>
      <c r="H24" s="41">
        <f>4.25*0.89</f>
        <v>3.7825000000000002</v>
      </c>
      <c r="I24" s="41">
        <f t="shared" si="4"/>
        <v>4.1985750000000008</v>
      </c>
      <c r="J24" s="41">
        <f t="shared" si="5"/>
        <v>581.96448075000012</v>
      </c>
      <c r="K24" s="43">
        <f t="shared" si="6"/>
        <v>524.29232500000012</v>
      </c>
      <c r="M24" s="88"/>
      <c r="N24" s="90"/>
      <c r="O24" s="88"/>
      <c r="P24" s="74"/>
      <c r="Q24" s="75"/>
      <c r="R24" s="75"/>
      <c r="AI24" s="17"/>
    </row>
    <row r="25" spans="2:35" ht="23.25" customHeight="1">
      <c r="B25" s="42" t="s">
        <v>86</v>
      </c>
      <c r="C25" s="38" t="s">
        <v>48</v>
      </c>
      <c r="D25" s="39" t="s">
        <v>49</v>
      </c>
      <c r="E25" s="39" t="s">
        <v>412</v>
      </c>
      <c r="F25" s="38" t="s">
        <v>17</v>
      </c>
      <c r="G25" s="40">
        <v>805.63</v>
      </c>
      <c r="H25" s="41">
        <f>3.71*0.89</f>
        <v>3.3018999999999998</v>
      </c>
      <c r="I25" s="41">
        <f t="shared" si="4"/>
        <v>3.6651090000000002</v>
      </c>
      <c r="J25" s="41">
        <f t="shared" si="5"/>
        <v>2952.7217636700002</v>
      </c>
      <c r="K25" s="43">
        <f t="shared" si="6"/>
        <v>2660.1096969999999</v>
      </c>
      <c r="M25" s="88"/>
      <c r="N25" s="89"/>
      <c r="O25" s="88"/>
      <c r="P25" s="74"/>
      <c r="Q25" s="75"/>
      <c r="R25" s="75"/>
      <c r="AI25" s="17"/>
    </row>
    <row r="26" spans="2:35" ht="23.25" customHeight="1">
      <c r="B26" s="42" t="s">
        <v>91</v>
      </c>
      <c r="C26" s="38" t="s">
        <v>52</v>
      </c>
      <c r="D26" s="54" t="s">
        <v>152</v>
      </c>
      <c r="E26" s="54" t="s">
        <v>411</v>
      </c>
      <c r="F26" s="38" t="s">
        <v>17</v>
      </c>
      <c r="G26" s="40">
        <v>805.63</v>
      </c>
      <c r="H26" s="41">
        <f>3.72*0.89</f>
        <v>3.3108000000000004</v>
      </c>
      <c r="I26" s="41">
        <f t="shared" si="4"/>
        <v>3.6749880000000008</v>
      </c>
      <c r="J26" s="41">
        <f t="shared" si="5"/>
        <v>2960.6805824400008</v>
      </c>
      <c r="K26" s="43">
        <f t="shared" si="6"/>
        <v>2667.2798040000002</v>
      </c>
      <c r="M26" s="88"/>
      <c r="N26" s="90"/>
      <c r="O26" s="88"/>
      <c r="P26" s="74"/>
      <c r="Q26" s="75"/>
      <c r="R26" s="75"/>
      <c r="AI26" s="17"/>
    </row>
    <row r="27" spans="2:35" ht="23.25" customHeight="1">
      <c r="B27" s="42" t="s">
        <v>93</v>
      </c>
      <c r="C27" s="38" t="s">
        <v>112</v>
      </c>
      <c r="D27" s="39" t="s">
        <v>113</v>
      </c>
      <c r="E27" s="39" t="s">
        <v>413</v>
      </c>
      <c r="F27" s="38" t="s">
        <v>7</v>
      </c>
      <c r="G27" s="40">
        <v>19.510000000000002</v>
      </c>
      <c r="H27" s="41">
        <f>60.42*0.89</f>
        <v>53.773800000000001</v>
      </c>
      <c r="I27" s="41">
        <f t="shared" si="4"/>
        <v>59.688918000000008</v>
      </c>
      <c r="J27" s="41">
        <f>I27*G27</f>
        <v>1164.5307901800002</v>
      </c>
      <c r="K27" s="43">
        <f t="shared" si="6"/>
        <v>1049.1268380000001</v>
      </c>
      <c r="M27" s="55"/>
      <c r="N27" s="16"/>
      <c r="AI27" s="17"/>
    </row>
    <row r="28" spans="2:35" ht="23.25" customHeight="1" thickBot="1">
      <c r="B28" s="44" t="s">
        <v>94</v>
      </c>
      <c r="C28" s="45" t="s">
        <v>110</v>
      </c>
      <c r="D28" s="77" t="s">
        <v>111</v>
      </c>
      <c r="E28" s="77" t="s">
        <v>414</v>
      </c>
      <c r="F28" s="45" t="s">
        <v>13</v>
      </c>
      <c r="G28" s="46">
        <v>0.7</v>
      </c>
      <c r="H28" s="47">
        <f>2279.84*0.89</f>
        <v>2029.0576000000001</v>
      </c>
      <c r="I28" s="47">
        <f t="shared" si="4"/>
        <v>2252.2539360000005</v>
      </c>
      <c r="J28" s="47">
        <f>I28*G28</f>
        <v>1576.5777552000002</v>
      </c>
      <c r="K28" s="48">
        <f t="shared" si="6"/>
        <v>1420.34032</v>
      </c>
      <c r="M28" s="55"/>
      <c r="N28" s="16"/>
      <c r="AI28" s="17"/>
    </row>
    <row r="29" spans="2:35" ht="23.25" customHeight="1" thickBot="1">
      <c r="B29" s="66" t="s">
        <v>95</v>
      </c>
      <c r="C29" s="72" t="s">
        <v>96</v>
      </c>
      <c r="D29" s="72"/>
      <c r="E29" s="72"/>
      <c r="F29" s="72"/>
      <c r="G29" s="72"/>
      <c r="H29" s="72"/>
      <c r="I29" s="72"/>
      <c r="J29" s="81">
        <f>SUM(J30:J34)</f>
        <v>6981.3258214200005</v>
      </c>
      <c r="K29" s="81">
        <f>SUM(K30:K34)</f>
        <v>6289.4827220000016</v>
      </c>
      <c r="M29" s="55"/>
      <c r="N29" s="16"/>
      <c r="AI29" s="17"/>
    </row>
    <row r="30" spans="2:35" ht="23.25" customHeight="1">
      <c r="B30" s="18" t="s">
        <v>118</v>
      </c>
      <c r="C30" s="38" t="s">
        <v>92</v>
      </c>
      <c r="D30" s="54" t="s">
        <v>16</v>
      </c>
      <c r="E30" s="54" t="s">
        <v>416</v>
      </c>
      <c r="F30" s="38" t="s">
        <v>7</v>
      </c>
      <c r="G30" s="70">
        <v>64.739999999999995</v>
      </c>
      <c r="H30" s="149">
        <v>45.29</v>
      </c>
      <c r="I30" s="149">
        <f t="shared" si="4"/>
        <v>50.271900000000002</v>
      </c>
      <c r="J30" s="149">
        <f>I30*G30</f>
        <v>3254.6028059999999</v>
      </c>
      <c r="K30" s="43">
        <f>G30*H30</f>
        <v>2932.0745999999999</v>
      </c>
      <c r="M30" s="55"/>
      <c r="N30" s="16"/>
      <c r="AI30" s="17"/>
    </row>
    <row r="31" spans="2:35" ht="23.25" customHeight="1">
      <c r="B31" s="68" t="s">
        <v>119</v>
      </c>
      <c r="C31" s="38" t="s">
        <v>55</v>
      </c>
      <c r="D31" s="54" t="s">
        <v>54</v>
      </c>
      <c r="E31" s="54" t="s">
        <v>417</v>
      </c>
      <c r="F31" s="38" t="s">
        <v>13</v>
      </c>
      <c r="G31" s="40">
        <v>7.38</v>
      </c>
      <c r="H31" s="41">
        <f>427.21*0.89</f>
        <v>380.21690000000001</v>
      </c>
      <c r="I31" s="41">
        <f t="shared" si="4"/>
        <v>422.04075900000004</v>
      </c>
      <c r="J31" s="41">
        <f t="shared" ref="J31:J70" si="7">I31*G31</f>
        <v>3114.6608014200001</v>
      </c>
      <c r="K31" s="43">
        <f>G31*H31</f>
        <v>2806.0007220000002</v>
      </c>
      <c r="M31" s="55"/>
      <c r="N31" s="16"/>
      <c r="AI31" s="17"/>
    </row>
    <row r="32" spans="2:35" ht="23.25" customHeight="1">
      <c r="B32" s="68" t="s">
        <v>120</v>
      </c>
      <c r="C32" s="80" t="s">
        <v>117</v>
      </c>
      <c r="D32" s="76" t="s">
        <v>116</v>
      </c>
      <c r="E32" s="76" t="s">
        <v>418</v>
      </c>
      <c r="F32" s="38" t="s">
        <v>17</v>
      </c>
      <c r="G32" s="40">
        <v>129.19999999999999</v>
      </c>
      <c r="H32" s="41">
        <f>3.55*0.89</f>
        <v>3.1595</v>
      </c>
      <c r="I32" s="41">
        <f t="shared" si="4"/>
        <v>3.5070450000000002</v>
      </c>
      <c r="J32" s="41">
        <f t="shared" si="7"/>
        <v>453.11021399999998</v>
      </c>
      <c r="K32" s="43">
        <f>G32*H32</f>
        <v>408.20739999999995</v>
      </c>
      <c r="M32" s="55"/>
      <c r="N32" s="16"/>
      <c r="AI32" s="17"/>
    </row>
    <row r="33" spans="2:35" ht="23.25" customHeight="1">
      <c r="B33" s="68" t="s">
        <v>217</v>
      </c>
      <c r="C33" s="119" t="s">
        <v>18</v>
      </c>
      <c r="D33" s="59" t="s">
        <v>19</v>
      </c>
      <c r="E33" s="121" t="s">
        <v>419</v>
      </c>
      <c r="F33" s="50" t="s">
        <v>8</v>
      </c>
      <c r="G33" s="40">
        <v>2</v>
      </c>
      <c r="H33" s="41">
        <v>40.57</v>
      </c>
      <c r="I33" s="41">
        <f t="shared" si="4"/>
        <v>45.032700000000006</v>
      </c>
      <c r="J33" s="41">
        <f t="shared" si="7"/>
        <v>90.065400000000011</v>
      </c>
      <c r="K33" s="43">
        <f t="shared" ref="K33:K34" si="8">G33*H33</f>
        <v>81.14</v>
      </c>
      <c r="M33" s="55"/>
      <c r="N33" s="16"/>
      <c r="AI33" s="17"/>
    </row>
    <row r="34" spans="2:35" ht="23.25" customHeight="1" thickBot="1">
      <c r="B34" s="68" t="s">
        <v>218</v>
      </c>
      <c r="C34" s="119" t="s">
        <v>20</v>
      </c>
      <c r="D34" s="121" t="s">
        <v>379</v>
      </c>
      <c r="E34" s="121" t="s">
        <v>411</v>
      </c>
      <c r="F34" s="50" t="s">
        <v>8</v>
      </c>
      <c r="G34" s="46">
        <v>2</v>
      </c>
      <c r="H34" s="47">
        <v>31.03</v>
      </c>
      <c r="I34" s="47">
        <f t="shared" si="4"/>
        <v>34.443300000000008</v>
      </c>
      <c r="J34" s="47">
        <f t="shared" si="7"/>
        <v>68.886600000000016</v>
      </c>
      <c r="K34" s="53">
        <f t="shared" si="8"/>
        <v>62.06</v>
      </c>
      <c r="M34" s="55"/>
      <c r="N34" s="16"/>
      <c r="AI34" s="17"/>
    </row>
    <row r="35" spans="2:35" ht="23.25" customHeight="1" thickBot="1">
      <c r="B35" s="69" t="s">
        <v>97</v>
      </c>
      <c r="C35" s="78" t="s">
        <v>154</v>
      </c>
      <c r="D35" s="78"/>
      <c r="E35" s="78"/>
      <c r="F35" s="78"/>
      <c r="G35" s="93"/>
      <c r="H35" s="93"/>
      <c r="I35" s="93"/>
      <c r="J35" s="200">
        <f>SUM(J36:J41)</f>
        <v>8992.1105028300026</v>
      </c>
      <c r="K35" s="79">
        <f>SUM(K36:K41)</f>
        <v>8101.0004530000006</v>
      </c>
      <c r="M35" s="55"/>
      <c r="N35" s="16"/>
      <c r="AI35" s="17"/>
    </row>
    <row r="36" spans="2:35" ht="39" customHeight="1">
      <c r="B36" s="18" t="s">
        <v>121</v>
      </c>
      <c r="C36" s="19" t="s">
        <v>112</v>
      </c>
      <c r="D36" s="20" t="s">
        <v>113</v>
      </c>
      <c r="E36" s="20" t="s">
        <v>420</v>
      </c>
      <c r="F36" s="19" t="s">
        <v>7</v>
      </c>
      <c r="G36" s="201">
        <v>43.56</v>
      </c>
      <c r="H36" s="202">
        <f>60.42*0.89</f>
        <v>53.773800000000001</v>
      </c>
      <c r="I36" s="203">
        <f t="shared" si="4"/>
        <v>59.688918000000008</v>
      </c>
      <c r="J36" s="203">
        <f t="shared" si="7"/>
        <v>2600.0492680800003</v>
      </c>
      <c r="K36" s="23">
        <f t="shared" ref="K36:K41" si="9">G36*H36</f>
        <v>2342.3867280000004</v>
      </c>
      <c r="M36" s="55"/>
      <c r="N36" s="16"/>
      <c r="AI36" s="17"/>
    </row>
    <row r="37" spans="2:35" ht="27" customHeight="1">
      <c r="B37" s="42" t="s">
        <v>122</v>
      </c>
      <c r="C37" s="38" t="s">
        <v>110</v>
      </c>
      <c r="D37" s="76" t="s">
        <v>111</v>
      </c>
      <c r="E37" s="76" t="s">
        <v>421</v>
      </c>
      <c r="F37" s="38" t="s">
        <v>13</v>
      </c>
      <c r="G37" s="40">
        <v>2.4500000000000002</v>
      </c>
      <c r="H37" s="41">
        <f>2279.84*0.89</f>
        <v>2029.0576000000001</v>
      </c>
      <c r="I37" s="41">
        <f t="shared" si="4"/>
        <v>2252.2539360000005</v>
      </c>
      <c r="J37" s="41">
        <f t="shared" si="7"/>
        <v>5518.0221432000017</v>
      </c>
      <c r="K37" s="43">
        <f t="shared" si="9"/>
        <v>4971.1911200000004</v>
      </c>
      <c r="M37" s="55"/>
      <c r="N37" s="16"/>
      <c r="AI37" s="17"/>
    </row>
    <row r="38" spans="2:35" ht="23.25" customHeight="1">
      <c r="B38" s="42" t="s">
        <v>123</v>
      </c>
      <c r="C38" s="38" t="s">
        <v>51</v>
      </c>
      <c r="D38" s="39" t="s">
        <v>50</v>
      </c>
      <c r="E38" s="39" t="s">
        <v>422</v>
      </c>
      <c r="F38" s="38" t="s">
        <v>17</v>
      </c>
      <c r="G38" s="40">
        <v>94.22</v>
      </c>
      <c r="H38" s="41">
        <f>3.69*0.89</f>
        <v>3.2841</v>
      </c>
      <c r="I38" s="41">
        <f t="shared" si="4"/>
        <v>3.6453510000000002</v>
      </c>
      <c r="J38" s="41">
        <f t="shared" si="7"/>
        <v>343.46497122</v>
      </c>
      <c r="K38" s="43">
        <f t="shared" si="9"/>
        <v>309.42790200000002</v>
      </c>
      <c r="M38" s="55"/>
      <c r="N38" s="16"/>
      <c r="AI38" s="17"/>
    </row>
    <row r="39" spans="2:35" ht="23.25" customHeight="1">
      <c r="B39" s="42" t="s">
        <v>128</v>
      </c>
      <c r="C39" s="38" t="s">
        <v>53</v>
      </c>
      <c r="D39" s="54" t="s">
        <v>153</v>
      </c>
      <c r="E39" s="54" t="s">
        <v>411</v>
      </c>
      <c r="F39" s="38" t="s">
        <v>17</v>
      </c>
      <c r="G39" s="40">
        <v>94.22</v>
      </c>
      <c r="H39" s="41">
        <f>4.25*0.89</f>
        <v>3.7825000000000002</v>
      </c>
      <c r="I39" s="41">
        <f t="shared" si="4"/>
        <v>4.1985750000000008</v>
      </c>
      <c r="J39" s="41">
        <f t="shared" si="7"/>
        <v>395.58973650000007</v>
      </c>
      <c r="K39" s="43">
        <f t="shared" si="9"/>
        <v>356.38715000000002</v>
      </c>
      <c r="M39" s="55"/>
      <c r="N39" s="16"/>
      <c r="AI39" s="17"/>
    </row>
    <row r="40" spans="2:35" ht="23.25" customHeight="1">
      <c r="B40" s="42" t="s">
        <v>130</v>
      </c>
      <c r="C40" s="38" t="s">
        <v>48</v>
      </c>
      <c r="D40" s="39" t="s">
        <v>49</v>
      </c>
      <c r="E40" s="39" t="s">
        <v>423</v>
      </c>
      <c r="F40" s="38" t="s">
        <v>17</v>
      </c>
      <c r="G40" s="40">
        <v>18.39</v>
      </c>
      <c r="H40" s="41">
        <f>3.71*0.89</f>
        <v>3.3018999999999998</v>
      </c>
      <c r="I40" s="41">
        <f t="shared" si="4"/>
        <v>3.6651090000000002</v>
      </c>
      <c r="J40" s="41">
        <f t="shared" si="7"/>
        <v>67.401354510000004</v>
      </c>
      <c r="K40" s="43">
        <f t="shared" si="9"/>
        <v>60.721941000000001</v>
      </c>
      <c r="M40" s="55"/>
      <c r="N40" s="16"/>
      <c r="AI40" s="17"/>
    </row>
    <row r="41" spans="2:35" ht="23.25" customHeight="1" thickBot="1">
      <c r="B41" s="42" t="s">
        <v>129</v>
      </c>
      <c r="C41" s="38" t="s">
        <v>52</v>
      </c>
      <c r="D41" s="54" t="s">
        <v>152</v>
      </c>
      <c r="E41" s="54" t="s">
        <v>411</v>
      </c>
      <c r="F41" s="38" t="s">
        <v>17</v>
      </c>
      <c r="G41" s="46">
        <v>18.39</v>
      </c>
      <c r="H41" s="47">
        <f>3.72*0.89</f>
        <v>3.3108000000000004</v>
      </c>
      <c r="I41" s="47">
        <f t="shared" si="4"/>
        <v>3.6749880000000008</v>
      </c>
      <c r="J41" s="47">
        <f t="shared" si="7"/>
        <v>67.583029320000023</v>
      </c>
      <c r="K41" s="43">
        <f t="shared" si="9"/>
        <v>60.885612000000009</v>
      </c>
      <c r="M41" s="55"/>
      <c r="N41" s="16"/>
      <c r="AI41" s="17"/>
    </row>
    <row r="42" spans="2:35" ht="23.25" customHeight="1" thickBot="1">
      <c r="B42" s="69" t="s">
        <v>98</v>
      </c>
      <c r="C42" s="78" t="s">
        <v>372</v>
      </c>
      <c r="D42" s="78"/>
      <c r="E42" s="78"/>
      <c r="F42" s="78"/>
      <c r="G42" s="72"/>
      <c r="H42" s="72"/>
      <c r="I42" s="72"/>
      <c r="J42" s="81">
        <f>SUM(J43:J47)</f>
        <v>13809.639681299999</v>
      </c>
      <c r="K42" s="79">
        <f>SUM(K43:K47)</f>
        <v>12441.116829999997</v>
      </c>
      <c r="M42" s="55"/>
      <c r="N42" s="16"/>
      <c r="AI42" s="17"/>
    </row>
    <row r="43" spans="2:35" ht="23.25" customHeight="1">
      <c r="B43" s="18" t="s">
        <v>125</v>
      </c>
      <c r="C43" s="19" t="s">
        <v>92</v>
      </c>
      <c r="D43" s="87" t="s">
        <v>16</v>
      </c>
      <c r="E43" s="87" t="s">
        <v>424</v>
      </c>
      <c r="F43" s="19" t="s">
        <v>7</v>
      </c>
      <c r="G43" s="70">
        <v>155.41999999999999</v>
      </c>
      <c r="H43" s="149">
        <v>45.29</v>
      </c>
      <c r="I43" s="149">
        <f t="shared" si="4"/>
        <v>50.271900000000002</v>
      </c>
      <c r="J43" s="149">
        <f t="shared" si="7"/>
        <v>7813.2586979999996</v>
      </c>
      <c r="K43" s="23">
        <f>G43*H43</f>
        <v>7038.9717999999993</v>
      </c>
      <c r="M43" s="55"/>
      <c r="N43" s="16"/>
      <c r="AI43" s="17"/>
    </row>
    <row r="44" spans="2:35" ht="23.25" customHeight="1">
      <c r="B44" s="42" t="s">
        <v>126</v>
      </c>
      <c r="C44" s="38" t="s">
        <v>55</v>
      </c>
      <c r="D44" s="54" t="s">
        <v>54</v>
      </c>
      <c r="E44" s="54" t="s">
        <v>425</v>
      </c>
      <c r="F44" s="38" t="s">
        <v>13</v>
      </c>
      <c r="G44" s="40">
        <v>12.4</v>
      </c>
      <c r="H44" s="41">
        <f>427.21*0.89</f>
        <v>380.21690000000001</v>
      </c>
      <c r="I44" s="41">
        <f t="shared" si="4"/>
        <v>422.04075900000004</v>
      </c>
      <c r="J44" s="41">
        <f t="shared" si="7"/>
        <v>5233.3054116000003</v>
      </c>
      <c r="K44" s="43">
        <f>G44*H44</f>
        <v>4714.6895599999998</v>
      </c>
      <c r="M44" s="55"/>
      <c r="N44" s="16"/>
      <c r="AI44" s="17"/>
    </row>
    <row r="45" spans="2:35" ht="37.5" customHeight="1">
      <c r="B45" s="42" t="s">
        <v>127</v>
      </c>
      <c r="C45" s="80" t="s">
        <v>117</v>
      </c>
      <c r="D45" s="76" t="s">
        <v>116</v>
      </c>
      <c r="E45" s="76" t="s">
        <v>426</v>
      </c>
      <c r="F45" s="38" t="s">
        <v>17</v>
      </c>
      <c r="G45" s="40">
        <v>172.26</v>
      </c>
      <c r="H45" s="41">
        <f>3.55*0.89</f>
        <v>3.1595</v>
      </c>
      <c r="I45" s="41">
        <f t="shared" si="4"/>
        <v>3.5070450000000002</v>
      </c>
      <c r="J45" s="41">
        <f t="shared" si="7"/>
        <v>604.12357169999996</v>
      </c>
      <c r="K45" s="43">
        <f>G45*H45</f>
        <v>544.25546999999995</v>
      </c>
      <c r="M45" s="55"/>
      <c r="N45" s="16"/>
      <c r="AI45" s="17"/>
    </row>
    <row r="46" spans="2:35" ht="23.25" customHeight="1">
      <c r="B46" s="42" t="s">
        <v>219</v>
      </c>
      <c r="C46" s="38" t="s">
        <v>18</v>
      </c>
      <c r="D46" s="59" t="s">
        <v>19</v>
      </c>
      <c r="E46" s="59" t="s">
        <v>428</v>
      </c>
      <c r="F46" s="38" t="s">
        <v>8</v>
      </c>
      <c r="G46" s="40">
        <v>2</v>
      </c>
      <c r="H46" s="41">
        <v>40.57</v>
      </c>
      <c r="I46" s="41">
        <f t="shared" si="4"/>
        <v>45.032700000000006</v>
      </c>
      <c r="J46" s="41">
        <f t="shared" si="7"/>
        <v>90.065400000000011</v>
      </c>
      <c r="K46" s="43">
        <f t="shared" ref="K46:K47" si="10">G46*H46</f>
        <v>81.14</v>
      </c>
      <c r="M46" s="55"/>
      <c r="N46" s="16"/>
      <c r="AI46" s="17"/>
    </row>
    <row r="47" spans="2:35" ht="23.25" customHeight="1" thickBot="1">
      <c r="B47" s="49" t="s">
        <v>220</v>
      </c>
      <c r="C47" s="50" t="s">
        <v>20</v>
      </c>
      <c r="D47" s="121" t="s">
        <v>21</v>
      </c>
      <c r="E47" s="121" t="s">
        <v>427</v>
      </c>
      <c r="F47" s="50" t="s">
        <v>8</v>
      </c>
      <c r="G47" s="46">
        <v>2</v>
      </c>
      <c r="H47" s="47">
        <v>31.03</v>
      </c>
      <c r="I47" s="47">
        <f t="shared" si="4"/>
        <v>34.443300000000008</v>
      </c>
      <c r="J47" s="47">
        <f t="shared" si="7"/>
        <v>68.886600000000016</v>
      </c>
      <c r="K47" s="53">
        <f t="shared" si="10"/>
        <v>62.06</v>
      </c>
      <c r="M47" s="55"/>
      <c r="N47" s="16"/>
      <c r="AI47" s="17"/>
    </row>
    <row r="48" spans="2:35" ht="23.25" customHeight="1" thickBot="1">
      <c r="B48" s="66" t="s">
        <v>100</v>
      </c>
      <c r="C48" s="72" t="s">
        <v>101</v>
      </c>
      <c r="D48" s="72"/>
      <c r="E48" s="72"/>
      <c r="F48" s="72"/>
      <c r="G48" s="198"/>
      <c r="H48" s="198"/>
      <c r="I48" s="198"/>
      <c r="J48" s="199">
        <f>SUM(J49:J54)</f>
        <v>19455.406131209998</v>
      </c>
      <c r="K48" s="81">
        <f>SUM(K49:K54)</f>
        <v>17527.392910999995</v>
      </c>
      <c r="M48" s="55"/>
      <c r="N48" s="16"/>
      <c r="AI48" s="17"/>
    </row>
    <row r="49" spans="2:35" ht="39" customHeight="1">
      <c r="B49" s="18" t="s">
        <v>124</v>
      </c>
      <c r="C49" s="19" t="s">
        <v>44</v>
      </c>
      <c r="D49" s="82" t="s">
        <v>45</v>
      </c>
      <c r="E49" s="82" t="s">
        <v>429</v>
      </c>
      <c r="F49" s="19" t="s">
        <v>7</v>
      </c>
      <c r="G49" s="201">
        <v>231.84</v>
      </c>
      <c r="H49" s="202">
        <f>62.91*0.89</f>
        <v>55.989899999999999</v>
      </c>
      <c r="I49" s="203">
        <f t="shared" si="4"/>
        <v>62.148789000000001</v>
      </c>
      <c r="J49" s="203">
        <f t="shared" si="7"/>
        <v>14408.57524176</v>
      </c>
      <c r="K49" s="23">
        <f t="shared" ref="K49:K54" si="11">G49*H49</f>
        <v>12980.698415999999</v>
      </c>
      <c r="M49" s="55"/>
      <c r="N49" s="16"/>
      <c r="AI49" s="17"/>
    </row>
    <row r="50" spans="2:35" ht="23.25" customHeight="1">
      <c r="B50" s="42" t="s">
        <v>131</v>
      </c>
      <c r="C50" s="38" t="s">
        <v>110</v>
      </c>
      <c r="D50" s="76" t="s">
        <v>111</v>
      </c>
      <c r="E50" s="76" t="s">
        <v>430</v>
      </c>
      <c r="F50" s="38" t="s">
        <v>13</v>
      </c>
      <c r="G50" s="40">
        <v>1.95</v>
      </c>
      <c r="H50" s="41">
        <f>2279.84*0.89</f>
        <v>2029.0576000000001</v>
      </c>
      <c r="I50" s="41">
        <f t="shared" si="4"/>
        <v>2252.2539360000005</v>
      </c>
      <c r="J50" s="41">
        <f t="shared" si="7"/>
        <v>4391.8951752000012</v>
      </c>
      <c r="K50" s="43">
        <f t="shared" si="11"/>
        <v>3956.6623199999999</v>
      </c>
      <c r="M50" s="55"/>
      <c r="N50" s="16"/>
      <c r="AI50" s="17"/>
    </row>
    <row r="51" spans="2:35" ht="23.25" customHeight="1">
      <c r="B51" s="42" t="s">
        <v>132</v>
      </c>
      <c r="C51" s="38" t="s">
        <v>51</v>
      </c>
      <c r="D51" s="39" t="s">
        <v>50</v>
      </c>
      <c r="E51" s="39" t="s">
        <v>431</v>
      </c>
      <c r="F51" s="38" t="s">
        <v>17</v>
      </c>
      <c r="G51" s="40">
        <v>12.05</v>
      </c>
      <c r="H51" s="41">
        <f>3.69*0.89</f>
        <v>3.2841</v>
      </c>
      <c r="I51" s="41">
        <f t="shared" si="4"/>
        <v>3.6453510000000002</v>
      </c>
      <c r="J51" s="41">
        <f t="shared" si="7"/>
        <v>43.926479550000003</v>
      </c>
      <c r="K51" s="43">
        <f t="shared" si="11"/>
        <v>39.573405000000001</v>
      </c>
      <c r="M51" s="55"/>
      <c r="N51" s="16"/>
      <c r="AI51" s="17"/>
    </row>
    <row r="52" spans="2:35" ht="23.25" customHeight="1">
      <c r="B52" s="42" t="s">
        <v>133</v>
      </c>
      <c r="C52" s="38" t="s">
        <v>53</v>
      </c>
      <c r="D52" s="54" t="s">
        <v>153</v>
      </c>
      <c r="E52" s="54" t="s">
        <v>432</v>
      </c>
      <c r="F52" s="38" t="s">
        <v>17</v>
      </c>
      <c r="G52" s="40">
        <v>12.05</v>
      </c>
      <c r="H52" s="41">
        <f>4.25*0.89</f>
        <v>3.7825000000000002</v>
      </c>
      <c r="I52" s="41">
        <f t="shared" si="4"/>
        <v>4.1985750000000008</v>
      </c>
      <c r="J52" s="41">
        <f t="shared" si="7"/>
        <v>50.59282875000001</v>
      </c>
      <c r="K52" s="43">
        <f t="shared" si="11"/>
        <v>45.579125000000005</v>
      </c>
      <c r="M52" s="55"/>
      <c r="N52" s="16"/>
      <c r="AI52" s="17"/>
    </row>
    <row r="53" spans="2:35" ht="23.25" customHeight="1">
      <c r="B53" s="42" t="s">
        <v>134</v>
      </c>
      <c r="C53" s="38" t="s">
        <v>48</v>
      </c>
      <c r="D53" s="39" t="s">
        <v>49</v>
      </c>
      <c r="E53" s="39" t="s">
        <v>423</v>
      </c>
      <c r="F53" s="38" t="s">
        <v>17</v>
      </c>
      <c r="G53" s="40">
        <v>76.349999999999994</v>
      </c>
      <c r="H53" s="41">
        <f>3.71*0.89</f>
        <v>3.3018999999999998</v>
      </c>
      <c r="I53" s="41">
        <f t="shared" si="4"/>
        <v>3.6651090000000002</v>
      </c>
      <c r="J53" s="41">
        <f t="shared" si="7"/>
        <v>279.83107215000001</v>
      </c>
      <c r="K53" s="43">
        <f t="shared" si="11"/>
        <v>252.10006499999997</v>
      </c>
      <c r="M53" s="55"/>
      <c r="N53" s="16"/>
      <c r="AI53" s="17"/>
    </row>
    <row r="54" spans="2:35" ht="23.25" customHeight="1" thickBot="1">
      <c r="B54" s="49" t="s">
        <v>135</v>
      </c>
      <c r="C54" s="50" t="s">
        <v>52</v>
      </c>
      <c r="D54" s="71" t="s">
        <v>152</v>
      </c>
      <c r="E54" s="71" t="s">
        <v>411</v>
      </c>
      <c r="F54" s="50" t="s">
        <v>17</v>
      </c>
      <c r="G54" s="46">
        <v>76.349999999999994</v>
      </c>
      <c r="H54" s="47">
        <f>3.72*0.89</f>
        <v>3.3108000000000004</v>
      </c>
      <c r="I54" s="47">
        <f t="shared" si="4"/>
        <v>3.6749880000000008</v>
      </c>
      <c r="J54" s="47">
        <f t="shared" si="7"/>
        <v>280.58533380000006</v>
      </c>
      <c r="K54" s="53">
        <f t="shared" si="11"/>
        <v>252.77958000000001</v>
      </c>
      <c r="M54" s="55"/>
      <c r="N54" s="16"/>
      <c r="AI54" s="17"/>
    </row>
    <row r="55" spans="2:35" ht="23.25" customHeight="1" thickBot="1">
      <c r="B55" s="66" t="s">
        <v>102</v>
      </c>
      <c r="C55" s="72" t="s">
        <v>103</v>
      </c>
      <c r="D55" s="72"/>
      <c r="E55" s="72"/>
      <c r="F55" s="72"/>
      <c r="G55" s="72"/>
      <c r="H55" s="72"/>
      <c r="I55" s="72"/>
      <c r="J55" s="81">
        <f>SUM(J56:J60)</f>
        <v>11239.656093</v>
      </c>
      <c r="K55" s="81">
        <f>SUM(K56:K60)</f>
        <v>10125.816299999999</v>
      </c>
      <c r="M55" s="55"/>
      <c r="N55" s="16"/>
      <c r="AI55" s="17"/>
    </row>
    <row r="56" spans="2:35" ht="23.25" customHeight="1">
      <c r="B56" s="18" t="s">
        <v>136</v>
      </c>
      <c r="C56" s="38" t="s">
        <v>92</v>
      </c>
      <c r="D56" s="54" t="s">
        <v>16</v>
      </c>
      <c r="E56" s="54" t="s">
        <v>433</v>
      </c>
      <c r="F56" s="38" t="s">
        <v>7</v>
      </c>
      <c r="G56" s="70">
        <v>93.87</v>
      </c>
      <c r="H56" s="149">
        <v>45.29</v>
      </c>
      <c r="I56" s="149">
        <f t="shared" si="4"/>
        <v>50.271900000000002</v>
      </c>
      <c r="J56" s="149">
        <f t="shared" si="7"/>
        <v>4719.0232530000003</v>
      </c>
      <c r="K56" s="43">
        <f>G56*H56</f>
        <v>4251.3723</v>
      </c>
      <c r="M56" s="55"/>
      <c r="N56" s="16"/>
      <c r="AI56" s="17"/>
    </row>
    <row r="57" spans="2:35" ht="23.25" customHeight="1">
      <c r="B57" s="68" t="s">
        <v>137</v>
      </c>
      <c r="C57" s="38" t="s">
        <v>55</v>
      </c>
      <c r="D57" s="54" t="s">
        <v>54</v>
      </c>
      <c r="E57" s="54" t="s">
        <v>434</v>
      </c>
      <c r="F57" s="38" t="s">
        <v>13</v>
      </c>
      <c r="G57" s="40">
        <v>14</v>
      </c>
      <c r="H57" s="41">
        <f>427.21*0.89</f>
        <v>380.21690000000001</v>
      </c>
      <c r="I57" s="41">
        <f t="shared" si="4"/>
        <v>422.04075900000004</v>
      </c>
      <c r="J57" s="41">
        <f t="shared" si="7"/>
        <v>5908.5706260000006</v>
      </c>
      <c r="K57" s="43">
        <f>G57*H57</f>
        <v>5323.0366000000004</v>
      </c>
      <c r="M57" s="55"/>
      <c r="N57" s="16"/>
      <c r="AI57" s="17"/>
    </row>
    <row r="58" spans="2:35" ht="23.25" customHeight="1">
      <c r="B58" s="68" t="s">
        <v>138</v>
      </c>
      <c r="C58" s="80" t="s">
        <v>117</v>
      </c>
      <c r="D58" s="76" t="s">
        <v>116</v>
      </c>
      <c r="E58" s="76" t="s">
        <v>435</v>
      </c>
      <c r="F58" s="38" t="s">
        <v>17</v>
      </c>
      <c r="G58" s="40">
        <v>129.19999999999999</v>
      </c>
      <c r="H58" s="41">
        <f>3.55*0.89</f>
        <v>3.1595</v>
      </c>
      <c r="I58" s="41">
        <f t="shared" si="4"/>
        <v>3.5070450000000002</v>
      </c>
      <c r="J58" s="41">
        <f t="shared" si="7"/>
        <v>453.11021399999998</v>
      </c>
      <c r="K58" s="43">
        <f>G58*H58</f>
        <v>408.20739999999995</v>
      </c>
      <c r="M58" s="55"/>
      <c r="N58" s="16"/>
      <c r="AI58" s="17"/>
    </row>
    <row r="59" spans="2:35" ht="23.25" customHeight="1">
      <c r="B59" s="42" t="s">
        <v>221</v>
      </c>
      <c r="C59" s="38" t="s">
        <v>18</v>
      </c>
      <c r="D59" s="59" t="s">
        <v>19</v>
      </c>
      <c r="E59" s="59" t="s">
        <v>428</v>
      </c>
      <c r="F59" s="38" t="s">
        <v>8</v>
      </c>
      <c r="G59" s="40">
        <v>2</v>
      </c>
      <c r="H59" s="41">
        <v>40.57</v>
      </c>
      <c r="I59" s="41">
        <f t="shared" si="4"/>
        <v>45.032700000000006</v>
      </c>
      <c r="J59" s="41">
        <f t="shared" si="7"/>
        <v>90.065400000000011</v>
      </c>
      <c r="K59" s="43">
        <f t="shared" ref="K59:K60" si="12">G59*H59</f>
        <v>81.14</v>
      </c>
      <c r="M59" s="55"/>
      <c r="N59" s="16"/>
      <c r="AI59" s="17"/>
    </row>
    <row r="60" spans="2:35" ht="23.25" customHeight="1" thickBot="1">
      <c r="B60" s="44" t="s">
        <v>222</v>
      </c>
      <c r="C60" s="45" t="s">
        <v>20</v>
      </c>
      <c r="D60" s="122" t="s">
        <v>379</v>
      </c>
      <c r="E60" s="122" t="s">
        <v>411</v>
      </c>
      <c r="F60" s="45" t="s">
        <v>8</v>
      </c>
      <c r="G60" s="46">
        <v>2</v>
      </c>
      <c r="H60" s="47">
        <v>31.03</v>
      </c>
      <c r="I60" s="47">
        <f>H60*1.11</f>
        <v>34.443300000000008</v>
      </c>
      <c r="J60" s="47">
        <f t="shared" si="7"/>
        <v>68.886600000000016</v>
      </c>
      <c r="K60" s="48">
        <f t="shared" si="12"/>
        <v>62.06</v>
      </c>
      <c r="M60" s="55"/>
      <c r="N60" s="16"/>
      <c r="AI60" s="17"/>
    </row>
    <row r="61" spans="2:35" ht="23.25" customHeight="1" thickBot="1">
      <c r="B61" s="66" t="s">
        <v>104</v>
      </c>
      <c r="C61" s="72" t="s">
        <v>108</v>
      </c>
      <c r="D61" s="62"/>
      <c r="E61" s="62"/>
      <c r="F61" s="61"/>
      <c r="G61" s="63"/>
      <c r="H61" s="64"/>
      <c r="I61" s="64"/>
      <c r="J61" s="91">
        <f>SUM(J62:J65)</f>
        <v>632.50802661</v>
      </c>
      <c r="K61" s="91">
        <f>SUM(K62:K65)</f>
        <v>569.82705099999998</v>
      </c>
      <c r="M61" s="55"/>
      <c r="N61" s="16"/>
      <c r="AI61" s="17"/>
    </row>
    <row r="62" spans="2:35" ht="23.25" customHeight="1">
      <c r="B62" s="18" t="s">
        <v>142</v>
      </c>
      <c r="C62" s="38" t="s">
        <v>92</v>
      </c>
      <c r="D62" s="54" t="s">
        <v>16</v>
      </c>
      <c r="E62" s="54" t="s">
        <v>437</v>
      </c>
      <c r="F62" s="38" t="s">
        <v>7</v>
      </c>
      <c r="G62" s="70">
        <v>5.08</v>
      </c>
      <c r="H62" s="149">
        <v>45.29</v>
      </c>
      <c r="I62" s="149">
        <f>H62*1.11</f>
        <v>50.271900000000002</v>
      </c>
      <c r="J62" s="149">
        <f t="shared" si="7"/>
        <v>255.38125200000002</v>
      </c>
      <c r="K62" s="43">
        <f>G62*H62</f>
        <v>230.07319999999999</v>
      </c>
      <c r="M62" s="55"/>
      <c r="N62" s="16"/>
      <c r="AI62" s="17"/>
    </row>
    <row r="63" spans="2:35" ht="23.25" customHeight="1">
      <c r="B63" s="68" t="s">
        <v>143</v>
      </c>
      <c r="C63" s="38" t="s">
        <v>55</v>
      </c>
      <c r="D63" s="54" t="s">
        <v>54</v>
      </c>
      <c r="E63" s="54" t="s">
        <v>436</v>
      </c>
      <c r="F63" s="38" t="s">
        <v>13</v>
      </c>
      <c r="G63" s="40">
        <v>0.5</v>
      </c>
      <c r="H63" s="41">
        <f>427.21*0.89</f>
        <v>380.21690000000001</v>
      </c>
      <c r="I63" s="41">
        <f t="shared" ref="I63:I80" si="13">H63*1.11</f>
        <v>422.04075900000004</v>
      </c>
      <c r="J63" s="41">
        <f t="shared" si="7"/>
        <v>211.02037950000002</v>
      </c>
      <c r="K63" s="43">
        <f>G63*H63</f>
        <v>190.10845</v>
      </c>
      <c r="M63" s="55"/>
      <c r="N63" s="16"/>
      <c r="AI63" s="17"/>
    </row>
    <row r="64" spans="2:35" ht="23.25" customHeight="1">
      <c r="B64" s="42" t="s">
        <v>146</v>
      </c>
      <c r="C64" s="38" t="s">
        <v>48</v>
      </c>
      <c r="D64" s="39" t="s">
        <v>49</v>
      </c>
      <c r="E64" s="39" t="s">
        <v>438</v>
      </c>
      <c r="F64" s="38" t="s">
        <v>17</v>
      </c>
      <c r="G64" s="40">
        <v>22.63</v>
      </c>
      <c r="H64" s="41">
        <f>3.71*0.89</f>
        <v>3.3018999999999998</v>
      </c>
      <c r="I64" s="41">
        <f t="shared" si="13"/>
        <v>3.6651090000000002</v>
      </c>
      <c r="J64" s="41">
        <f t="shared" si="7"/>
        <v>82.941416669999995</v>
      </c>
      <c r="K64" s="43">
        <f t="shared" ref="K64:K65" si="14">G64*H64</f>
        <v>74.721996999999988</v>
      </c>
      <c r="M64" s="55"/>
      <c r="N64" s="16"/>
      <c r="AI64" s="17"/>
    </row>
    <row r="65" spans="2:35" ht="23.25" customHeight="1" thickBot="1">
      <c r="B65" s="42" t="s">
        <v>147</v>
      </c>
      <c r="C65" s="50" t="s">
        <v>52</v>
      </c>
      <c r="D65" s="71" t="s">
        <v>152</v>
      </c>
      <c r="E65" s="71" t="s">
        <v>411</v>
      </c>
      <c r="F65" s="50" t="s">
        <v>17</v>
      </c>
      <c r="G65" s="46">
        <v>22.63</v>
      </c>
      <c r="H65" s="47">
        <f>3.72*0.89</f>
        <v>3.3108000000000004</v>
      </c>
      <c r="I65" s="47">
        <f t="shared" si="13"/>
        <v>3.6749880000000008</v>
      </c>
      <c r="J65" s="47">
        <f t="shared" si="7"/>
        <v>83.164978440000013</v>
      </c>
      <c r="K65" s="53">
        <f t="shared" si="14"/>
        <v>74.923404000000005</v>
      </c>
      <c r="M65" s="55"/>
      <c r="N65" s="16"/>
      <c r="AI65" s="17"/>
    </row>
    <row r="66" spans="2:35" ht="23.25" customHeight="1" thickBot="1">
      <c r="B66" s="69" t="s">
        <v>106</v>
      </c>
      <c r="C66" s="78" t="s">
        <v>105</v>
      </c>
      <c r="D66" s="83"/>
      <c r="E66" s="83"/>
      <c r="F66" s="84"/>
      <c r="G66" s="63"/>
      <c r="H66" s="64"/>
      <c r="I66" s="64"/>
      <c r="J66" s="91">
        <f>SUM(J67:J70)</f>
        <v>1486.3681872900002</v>
      </c>
      <c r="K66" s="92">
        <f>SUM(K67:K70)</f>
        <v>1339.0704390000001</v>
      </c>
      <c r="M66" s="55"/>
      <c r="N66" s="16"/>
      <c r="AI66" s="17"/>
    </row>
    <row r="67" spans="2:35" ht="23.25" customHeight="1">
      <c r="B67" s="18" t="s">
        <v>139</v>
      </c>
      <c r="C67" s="19" t="s">
        <v>88</v>
      </c>
      <c r="D67" s="20" t="s">
        <v>87</v>
      </c>
      <c r="E67" s="20" t="s">
        <v>439</v>
      </c>
      <c r="F67" s="19" t="s">
        <v>13</v>
      </c>
      <c r="G67" s="70">
        <v>1.1299999999999999</v>
      </c>
      <c r="H67" s="149">
        <f>93.17*0.89</f>
        <v>82.921300000000002</v>
      </c>
      <c r="I67" s="149">
        <f t="shared" si="13"/>
        <v>92.042643000000012</v>
      </c>
      <c r="J67" s="149">
        <f t="shared" si="7"/>
        <v>104.00818659000001</v>
      </c>
      <c r="K67" s="23">
        <f>G67*H67</f>
        <v>93.70106899999999</v>
      </c>
      <c r="M67" s="55"/>
      <c r="N67" s="16"/>
      <c r="AI67" s="17"/>
    </row>
    <row r="68" spans="2:35" ht="23.25" customHeight="1">
      <c r="B68" s="42" t="s">
        <v>140</v>
      </c>
      <c r="C68" s="38" t="s">
        <v>92</v>
      </c>
      <c r="D68" s="54" t="s">
        <v>16</v>
      </c>
      <c r="E68" s="54" t="s">
        <v>440</v>
      </c>
      <c r="F68" s="38" t="s">
        <v>7</v>
      </c>
      <c r="G68" s="40">
        <v>4.82</v>
      </c>
      <c r="H68" s="41">
        <v>45.29</v>
      </c>
      <c r="I68" s="41">
        <f t="shared" si="13"/>
        <v>50.271900000000002</v>
      </c>
      <c r="J68" s="41">
        <f t="shared" si="7"/>
        <v>242.31055800000001</v>
      </c>
      <c r="K68" s="43">
        <f>G68*H68</f>
        <v>218.2978</v>
      </c>
      <c r="M68" s="55"/>
      <c r="N68" s="16"/>
      <c r="AI68" s="17"/>
    </row>
    <row r="69" spans="2:35" ht="23.25" customHeight="1">
      <c r="B69" s="42" t="s">
        <v>141</v>
      </c>
      <c r="C69" s="38" t="s">
        <v>55</v>
      </c>
      <c r="D69" s="54" t="s">
        <v>54</v>
      </c>
      <c r="E69" s="54" t="s">
        <v>441</v>
      </c>
      <c r="F69" s="38" t="s">
        <v>13</v>
      </c>
      <c r="G69" s="40">
        <v>2.2599999999999998</v>
      </c>
      <c r="H69" s="41">
        <f>427.21*0.89</f>
        <v>380.21690000000001</v>
      </c>
      <c r="I69" s="41">
        <f t="shared" si="13"/>
        <v>422.04075900000004</v>
      </c>
      <c r="J69" s="41">
        <f t="shared" si="7"/>
        <v>953.81211533999999</v>
      </c>
      <c r="K69" s="43">
        <f>G69*H69</f>
        <v>859.29019399999993</v>
      </c>
      <c r="M69" s="55"/>
      <c r="N69" s="16"/>
      <c r="AI69" s="17"/>
    </row>
    <row r="70" spans="2:35" ht="23.25" customHeight="1" thickBot="1">
      <c r="B70" s="44" t="s">
        <v>155</v>
      </c>
      <c r="C70" s="45" t="s">
        <v>114</v>
      </c>
      <c r="D70" s="77" t="s">
        <v>115</v>
      </c>
      <c r="E70" s="77" t="s">
        <v>442</v>
      </c>
      <c r="F70" s="45" t="s">
        <v>17</v>
      </c>
      <c r="G70" s="46">
        <v>42.08</v>
      </c>
      <c r="H70" s="47">
        <f>4.48*0.89</f>
        <v>3.9872000000000005</v>
      </c>
      <c r="I70" s="47">
        <f t="shared" si="13"/>
        <v>4.4257920000000013</v>
      </c>
      <c r="J70" s="47">
        <f t="shared" si="7"/>
        <v>186.23732736000005</v>
      </c>
      <c r="K70" s="48">
        <f>G70*H70</f>
        <v>167.78137600000002</v>
      </c>
      <c r="M70" s="55"/>
      <c r="N70" s="16"/>
      <c r="AI70" s="17"/>
    </row>
    <row r="71" spans="2:35" ht="23.25" customHeight="1" thickBot="1">
      <c r="B71" s="99" t="s">
        <v>109</v>
      </c>
      <c r="C71" s="93" t="s">
        <v>65</v>
      </c>
      <c r="D71" s="94"/>
      <c r="E71" s="94"/>
      <c r="F71" s="95"/>
      <c r="G71" s="96"/>
      <c r="H71" s="97"/>
      <c r="I71" s="64"/>
      <c r="J71" s="91">
        <f>SUM(J72:J76)</f>
        <v>1052.9117232000003</v>
      </c>
      <c r="K71" s="98">
        <f>SUM(K72:K76)</f>
        <v>948.56912</v>
      </c>
      <c r="M71" s="55"/>
      <c r="N71" s="16"/>
      <c r="AI71" s="17"/>
    </row>
    <row r="72" spans="2:35" ht="23.25" customHeight="1">
      <c r="B72" s="18" t="s">
        <v>148</v>
      </c>
      <c r="C72" s="19" t="s">
        <v>112</v>
      </c>
      <c r="D72" s="20" t="s">
        <v>113</v>
      </c>
      <c r="E72" s="20" t="s">
        <v>443</v>
      </c>
      <c r="F72" s="19" t="s">
        <v>7</v>
      </c>
      <c r="G72" s="21">
        <v>4.8</v>
      </c>
      <c r="H72" s="22">
        <f>60.42*0.89</f>
        <v>53.773800000000001</v>
      </c>
      <c r="I72" s="149">
        <f t="shared" si="13"/>
        <v>59.688918000000008</v>
      </c>
      <c r="J72" s="149">
        <f>I72*G72</f>
        <v>286.50680640000002</v>
      </c>
      <c r="K72" s="23">
        <f t="shared" ref="K72:K75" si="15">G72*H72</f>
        <v>258.11424</v>
      </c>
      <c r="M72" s="55"/>
      <c r="N72" s="16"/>
      <c r="AI72" s="17"/>
    </row>
    <row r="73" spans="2:35" ht="23.25" customHeight="1">
      <c r="B73" s="42" t="s">
        <v>149</v>
      </c>
      <c r="C73" s="38" t="s">
        <v>110</v>
      </c>
      <c r="D73" s="76" t="s">
        <v>111</v>
      </c>
      <c r="E73" s="76" t="s">
        <v>444</v>
      </c>
      <c r="F73" s="38" t="s">
        <v>13</v>
      </c>
      <c r="G73" s="40">
        <v>0.17</v>
      </c>
      <c r="H73" s="41">
        <f>2279.84*0.89</f>
        <v>2029.0576000000001</v>
      </c>
      <c r="I73" s="41">
        <f t="shared" si="13"/>
        <v>2252.2539360000005</v>
      </c>
      <c r="J73" s="41">
        <f t="shared" ref="J73:J76" si="16">I73*G73</f>
        <v>382.8831691200001</v>
      </c>
      <c r="K73" s="43">
        <f t="shared" si="15"/>
        <v>344.93979200000007</v>
      </c>
      <c r="M73" s="55"/>
      <c r="N73" s="16"/>
      <c r="AI73" s="17"/>
    </row>
    <row r="74" spans="2:35" ht="23.25" customHeight="1">
      <c r="B74" s="42" t="s">
        <v>150</v>
      </c>
      <c r="C74" s="38" t="s">
        <v>51</v>
      </c>
      <c r="D74" s="39" t="s">
        <v>50</v>
      </c>
      <c r="E74" s="39" t="s">
        <v>431</v>
      </c>
      <c r="F74" s="38" t="s">
        <v>17</v>
      </c>
      <c r="G74" s="40">
        <v>5.88</v>
      </c>
      <c r="H74" s="41">
        <f>3.69*0.89</f>
        <v>3.2841</v>
      </c>
      <c r="I74" s="41">
        <f t="shared" si="13"/>
        <v>3.6453510000000002</v>
      </c>
      <c r="J74" s="41">
        <f t="shared" si="16"/>
        <v>21.434663880000002</v>
      </c>
      <c r="K74" s="43">
        <f t="shared" si="15"/>
        <v>19.310507999999999</v>
      </c>
      <c r="M74" s="55"/>
      <c r="N74" s="16"/>
      <c r="AI74" s="17"/>
    </row>
    <row r="75" spans="2:35" ht="23.25" customHeight="1">
      <c r="B75" s="49" t="s">
        <v>151</v>
      </c>
      <c r="C75" s="38" t="s">
        <v>53</v>
      </c>
      <c r="D75" s="54" t="s">
        <v>153</v>
      </c>
      <c r="E75" s="39" t="s">
        <v>411</v>
      </c>
      <c r="F75" s="38" t="s">
        <v>17</v>
      </c>
      <c r="G75" s="40">
        <v>5.88</v>
      </c>
      <c r="H75" s="41">
        <f>4.25*0.89</f>
        <v>3.7825000000000002</v>
      </c>
      <c r="I75" s="41">
        <f t="shared" si="13"/>
        <v>4.1985750000000008</v>
      </c>
      <c r="J75" s="41">
        <f t="shared" si="16"/>
        <v>24.687621000000004</v>
      </c>
      <c r="K75" s="43">
        <f t="shared" si="15"/>
        <v>22.241099999999999</v>
      </c>
      <c r="M75" s="55"/>
      <c r="N75" s="16"/>
      <c r="AI75" s="17"/>
    </row>
    <row r="76" spans="2:35" ht="23.25" customHeight="1" thickBot="1">
      <c r="B76" s="44" t="s">
        <v>220</v>
      </c>
      <c r="C76" s="45" t="s">
        <v>191</v>
      </c>
      <c r="D76" s="56" t="s">
        <v>192</v>
      </c>
      <c r="E76" s="106" t="s">
        <v>445</v>
      </c>
      <c r="F76" s="45" t="s">
        <v>7</v>
      </c>
      <c r="G76" s="46">
        <v>4.24</v>
      </c>
      <c r="H76" s="47">
        <f>80.55*0.89</f>
        <v>71.689499999999995</v>
      </c>
      <c r="I76" s="47">
        <f t="shared" si="13"/>
        <v>79.575344999999999</v>
      </c>
      <c r="J76" s="47">
        <f t="shared" si="16"/>
        <v>337.39946280000004</v>
      </c>
      <c r="K76" s="48">
        <f>G76*H76</f>
        <v>303.96348</v>
      </c>
      <c r="M76" s="55"/>
      <c r="N76" s="16"/>
      <c r="AI76" s="17"/>
    </row>
    <row r="77" spans="2:35" ht="23.25" customHeight="1" thickBot="1">
      <c r="B77" s="29" t="s">
        <v>23</v>
      </c>
      <c r="C77" s="233" t="s">
        <v>56</v>
      </c>
      <c r="D77" s="233"/>
      <c r="E77" s="219"/>
      <c r="F77" s="30"/>
      <c r="G77" s="31"/>
      <c r="H77" s="32"/>
      <c r="I77" s="32"/>
      <c r="J77" s="33">
        <f>SUM(J78:J80)</f>
        <v>8114.5426324800001</v>
      </c>
      <c r="K77" s="33">
        <f>SUM(K78:K80)</f>
        <v>7310.398768</v>
      </c>
    </row>
    <row r="78" spans="2:35" ht="23.25" customHeight="1">
      <c r="B78" s="18" t="s">
        <v>158</v>
      </c>
      <c r="C78" s="19" t="s">
        <v>162</v>
      </c>
      <c r="D78" s="20" t="s">
        <v>24</v>
      </c>
      <c r="E78" s="20" t="s">
        <v>446</v>
      </c>
      <c r="F78" s="19" t="s">
        <v>7</v>
      </c>
      <c r="G78" s="21">
        <v>0</v>
      </c>
      <c r="H78" s="22">
        <v>23.39</v>
      </c>
      <c r="I78" s="149">
        <f t="shared" si="13"/>
        <v>25.962900000000001</v>
      </c>
      <c r="J78" s="149">
        <f>I78*G78</f>
        <v>0</v>
      </c>
      <c r="K78" s="23">
        <f t="shared" ref="K78:K80" si="17">G78*H78</f>
        <v>0</v>
      </c>
      <c r="M78" s="13"/>
    </row>
    <row r="79" spans="2:35" ht="23.25" customHeight="1">
      <c r="B79" s="100" t="s">
        <v>160</v>
      </c>
      <c r="C79" s="38" t="s">
        <v>163</v>
      </c>
      <c r="D79" s="39" t="s">
        <v>25</v>
      </c>
      <c r="E79" s="39" t="s">
        <v>447</v>
      </c>
      <c r="F79" s="38" t="s">
        <v>7</v>
      </c>
      <c r="G79" s="40">
        <v>421.61</v>
      </c>
      <c r="H79" s="41">
        <v>14.880799999999999</v>
      </c>
      <c r="I79" s="41">
        <f t="shared" si="13"/>
        <v>16.517688</v>
      </c>
      <c r="J79" s="41">
        <f t="shared" ref="J79:J83" si="18">I79*G79</f>
        <v>6964.0224376799997</v>
      </c>
      <c r="K79" s="43">
        <f t="shared" si="17"/>
        <v>6273.894088</v>
      </c>
    </row>
    <row r="80" spans="2:35" ht="23.25" customHeight="1" thickBot="1">
      <c r="B80" s="107" t="s">
        <v>161</v>
      </c>
      <c r="C80" s="50" t="s">
        <v>156</v>
      </c>
      <c r="D80" s="60" t="s">
        <v>157</v>
      </c>
      <c r="E80" s="60" t="s">
        <v>448</v>
      </c>
      <c r="F80" s="50" t="s">
        <v>7</v>
      </c>
      <c r="G80" s="51">
        <v>7.32</v>
      </c>
      <c r="H80" s="52">
        <f>159.1*0.89</f>
        <v>141.59899999999999</v>
      </c>
      <c r="I80" s="47">
        <f t="shared" si="13"/>
        <v>157.17489</v>
      </c>
      <c r="J80" s="47">
        <f t="shared" si="18"/>
        <v>1150.5201948000001</v>
      </c>
      <c r="K80" s="53">
        <f t="shared" si="17"/>
        <v>1036.50468</v>
      </c>
    </row>
    <row r="81" spans="2:13" ht="23.25" customHeight="1" thickBot="1">
      <c r="B81" s="118" t="s">
        <v>26</v>
      </c>
      <c r="C81" s="233" t="s">
        <v>43</v>
      </c>
      <c r="D81" s="233"/>
      <c r="E81" s="219"/>
      <c r="F81" s="30"/>
      <c r="G81" s="31"/>
      <c r="H81" s="32"/>
      <c r="I81" s="32"/>
      <c r="J81" s="33">
        <f>SUM(J82:J83)</f>
        <v>3686.2688189999994</v>
      </c>
      <c r="K81" s="33">
        <f>SUM(K82:K83)</f>
        <v>3320.9628999999995</v>
      </c>
      <c r="M81" s="16" t="s">
        <v>46</v>
      </c>
    </row>
    <row r="82" spans="2:13" ht="23.25" customHeight="1">
      <c r="B82" s="18" t="s">
        <v>204</v>
      </c>
      <c r="C82" s="19" t="s">
        <v>66</v>
      </c>
      <c r="D82" s="20" t="s">
        <v>67</v>
      </c>
      <c r="E82" s="20">
        <v>1</v>
      </c>
      <c r="F82" s="19" t="s">
        <v>8</v>
      </c>
      <c r="G82" s="21">
        <v>1</v>
      </c>
      <c r="H82" s="22">
        <f>58.61*0.89</f>
        <v>52.1629</v>
      </c>
      <c r="I82" s="149">
        <f t="shared" ref="I82:I91" si="19">H82*1.11</f>
        <v>57.900819000000006</v>
      </c>
      <c r="J82" s="149">
        <f t="shared" si="18"/>
        <v>57.900819000000006</v>
      </c>
      <c r="K82" s="23">
        <f>G82*H82</f>
        <v>52.1629</v>
      </c>
      <c r="M82" s="16"/>
    </row>
    <row r="83" spans="2:13" ht="23.25" customHeight="1" thickBot="1">
      <c r="B83" s="108" t="s">
        <v>205</v>
      </c>
      <c r="C83" s="45" t="s">
        <v>216</v>
      </c>
      <c r="D83" s="106" t="s">
        <v>57</v>
      </c>
      <c r="E83" s="106" t="s">
        <v>449</v>
      </c>
      <c r="F83" s="45" t="s">
        <v>22</v>
      </c>
      <c r="G83" s="46">
        <v>6</v>
      </c>
      <c r="H83" s="47">
        <v>544.79999999999995</v>
      </c>
      <c r="I83" s="47">
        <f>H83*1.11</f>
        <v>604.72799999999995</v>
      </c>
      <c r="J83" s="47">
        <f t="shared" si="18"/>
        <v>3628.3679999999995</v>
      </c>
      <c r="K83" s="48">
        <f>G83*H83</f>
        <v>3268.7999999999997</v>
      </c>
      <c r="M83" s="16"/>
    </row>
    <row r="84" spans="2:13" ht="23.25" customHeight="1" thickBot="1">
      <c r="B84" s="105" t="s">
        <v>27</v>
      </c>
      <c r="C84" s="245" t="s">
        <v>70</v>
      </c>
      <c r="D84" s="245"/>
      <c r="E84" s="221"/>
      <c r="F84" s="101"/>
      <c r="G84" s="102"/>
      <c r="H84" s="103"/>
      <c r="I84" s="32"/>
      <c r="J84" s="33">
        <f>SUM(J85:J145)</f>
        <v>69031.94526800001</v>
      </c>
      <c r="K84" s="104">
        <f>SUM(K85:K145)</f>
        <v>66652.677299999996</v>
      </c>
      <c r="M84" s="16" t="s">
        <v>47</v>
      </c>
    </row>
    <row r="85" spans="2:13" ht="23.25" customHeight="1">
      <c r="B85" s="18" t="s">
        <v>159</v>
      </c>
      <c r="C85" s="19" t="s">
        <v>164</v>
      </c>
      <c r="D85" s="20" t="s">
        <v>165</v>
      </c>
      <c r="E85" s="20" t="s">
        <v>450</v>
      </c>
      <c r="F85" s="19" t="s">
        <v>22</v>
      </c>
      <c r="G85" s="21">
        <v>180</v>
      </c>
      <c r="H85" s="22">
        <f>46.06*0.89</f>
        <v>40.993400000000001</v>
      </c>
      <c r="I85" s="149">
        <f t="shared" si="19"/>
        <v>45.502674000000006</v>
      </c>
      <c r="J85" s="149">
        <f t="shared" ref="J85:J148" si="20">I85*G85</f>
        <v>8190.4813200000008</v>
      </c>
      <c r="K85" s="23">
        <f>G85*H85</f>
        <v>7378.8119999999999</v>
      </c>
      <c r="M85" s="16"/>
    </row>
    <row r="86" spans="2:13" ht="23.25" customHeight="1">
      <c r="B86" s="100" t="s">
        <v>166</v>
      </c>
      <c r="C86" s="38" t="s">
        <v>216</v>
      </c>
      <c r="D86" s="59" t="s">
        <v>58</v>
      </c>
      <c r="E86" s="59"/>
      <c r="F86" s="38" t="s">
        <v>22</v>
      </c>
      <c r="G86" s="40">
        <v>300</v>
      </c>
      <c r="H86" s="41">
        <v>27</v>
      </c>
      <c r="I86" s="41">
        <f t="shared" si="19"/>
        <v>29.970000000000002</v>
      </c>
      <c r="J86" s="41">
        <f t="shared" si="20"/>
        <v>8991</v>
      </c>
      <c r="K86" s="43">
        <f>G86*H86</f>
        <v>8100</v>
      </c>
      <c r="M86" s="16"/>
    </row>
    <row r="87" spans="2:13" ht="23.25" customHeight="1">
      <c r="B87" s="100" t="s">
        <v>167</v>
      </c>
      <c r="C87" s="38" t="s">
        <v>61</v>
      </c>
      <c r="D87" s="54" t="s">
        <v>62</v>
      </c>
      <c r="E87" s="54"/>
      <c r="F87" s="38" t="s">
        <v>8</v>
      </c>
      <c r="G87" s="40">
        <v>15</v>
      </c>
      <c r="H87" s="41">
        <f>147.69*0.89</f>
        <v>131.44409999999999</v>
      </c>
      <c r="I87" s="41">
        <f t="shared" si="19"/>
        <v>145.902951</v>
      </c>
      <c r="J87" s="41">
        <f t="shared" si="20"/>
        <v>2188.544265</v>
      </c>
      <c r="K87" s="43">
        <f>G87*H87</f>
        <v>1971.6614999999999</v>
      </c>
    </row>
    <row r="88" spans="2:13" ht="23.25" customHeight="1">
      <c r="B88" s="100" t="s">
        <v>171</v>
      </c>
      <c r="C88" s="38" t="s">
        <v>169</v>
      </c>
      <c r="D88" s="54" t="s">
        <v>170</v>
      </c>
      <c r="E88" s="54"/>
      <c r="F88" s="38" t="s">
        <v>22</v>
      </c>
      <c r="G88" s="40">
        <v>30</v>
      </c>
      <c r="H88" s="41">
        <f>10.91*0.89</f>
        <v>9.7099000000000011</v>
      </c>
      <c r="I88" s="41">
        <f t="shared" si="19"/>
        <v>10.777989000000002</v>
      </c>
      <c r="J88" s="41">
        <f t="shared" si="20"/>
        <v>323.33967000000007</v>
      </c>
      <c r="K88" s="43">
        <f>G88*H88</f>
        <v>291.29700000000003</v>
      </c>
      <c r="M88" s="16"/>
    </row>
    <row r="89" spans="2:13" ht="23.25" customHeight="1">
      <c r="B89" s="100" t="s">
        <v>168</v>
      </c>
      <c r="C89" s="38" t="s">
        <v>172</v>
      </c>
      <c r="D89" s="120" t="s">
        <v>173</v>
      </c>
      <c r="E89" s="120"/>
      <c r="F89" s="38" t="s">
        <v>8</v>
      </c>
      <c r="G89" s="40">
        <v>5</v>
      </c>
      <c r="H89" s="41">
        <f>8.21*0.89</f>
        <v>7.3069000000000006</v>
      </c>
      <c r="I89" s="41">
        <f t="shared" si="19"/>
        <v>8.1106590000000018</v>
      </c>
      <c r="J89" s="41">
        <f t="shared" si="20"/>
        <v>40.553295000000006</v>
      </c>
      <c r="K89" s="43">
        <f>G89*H89</f>
        <v>36.534500000000001</v>
      </c>
      <c r="M89" s="16"/>
    </row>
    <row r="90" spans="2:13" ht="23.25" customHeight="1">
      <c r="B90" s="100" t="s">
        <v>180</v>
      </c>
      <c r="C90" s="38" t="s">
        <v>174</v>
      </c>
      <c r="D90" s="131" t="s">
        <v>175</v>
      </c>
      <c r="E90" s="131"/>
      <c r="F90" s="38" t="s">
        <v>22</v>
      </c>
      <c r="G90" s="40">
        <v>30</v>
      </c>
      <c r="H90" s="41">
        <f>3.75*0.89</f>
        <v>3.3374999999999999</v>
      </c>
      <c r="I90" s="41">
        <f t="shared" si="19"/>
        <v>3.7046250000000001</v>
      </c>
      <c r="J90" s="41">
        <f t="shared" si="20"/>
        <v>111.13875</v>
      </c>
      <c r="K90" s="43">
        <f t="shared" ref="K90:K133" si="21">G90*H90</f>
        <v>100.125</v>
      </c>
      <c r="M90" s="16"/>
    </row>
    <row r="91" spans="2:13" ht="23.25" customHeight="1">
      <c r="B91" s="100" t="s">
        <v>181</v>
      </c>
      <c r="C91" s="38" t="s">
        <v>176</v>
      </c>
      <c r="D91" s="131" t="s">
        <v>177</v>
      </c>
      <c r="E91" s="131"/>
      <c r="F91" s="38" t="s">
        <v>8</v>
      </c>
      <c r="G91" s="40">
        <v>10</v>
      </c>
      <c r="H91" s="41">
        <f>10.29*0.89</f>
        <v>9.1580999999999992</v>
      </c>
      <c r="I91" s="41">
        <f t="shared" si="19"/>
        <v>10.165490999999999</v>
      </c>
      <c r="J91" s="41">
        <f t="shared" si="20"/>
        <v>101.65491</v>
      </c>
      <c r="K91" s="43">
        <f t="shared" si="21"/>
        <v>91.580999999999989</v>
      </c>
      <c r="M91" s="16"/>
    </row>
    <row r="92" spans="2:13" ht="23.25" customHeight="1">
      <c r="B92" s="100" t="s">
        <v>238</v>
      </c>
      <c r="C92" s="38" t="s">
        <v>216</v>
      </c>
      <c r="D92" s="54" t="s">
        <v>277</v>
      </c>
      <c r="E92" s="54"/>
      <c r="F92" s="38" t="s">
        <v>8</v>
      </c>
      <c r="G92" s="40">
        <v>6</v>
      </c>
      <c r="H92" s="41">
        <v>594</v>
      </c>
      <c r="I92" s="41">
        <f>H92</f>
        <v>594</v>
      </c>
      <c r="J92" s="41">
        <f t="shared" si="20"/>
        <v>3564</v>
      </c>
      <c r="K92" s="43">
        <f t="shared" si="21"/>
        <v>3564</v>
      </c>
      <c r="M92" s="16"/>
    </row>
    <row r="93" spans="2:13" ht="23.25" customHeight="1">
      <c r="B93" s="100" t="s">
        <v>239</v>
      </c>
      <c r="C93" s="38" t="s">
        <v>216</v>
      </c>
      <c r="D93" s="39" t="s">
        <v>278</v>
      </c>
      <c r="E93" s="39"/>
      <c r="F93" s="38" t="s">
        <v>8</v>
      </c>
      <c r="G93" s="40">
        <v>6</v>
      </c>
      <c r="H93" s="41">
        <v>475.08300000000003</v>
      </c>
      <c r="I93" s="41">
        <f t="shared" ref="I93:I131" si="22">H93</f>
        <v>475.08300000000003</v>
      </c>
      <c r="J93" s="41">
        <f t="shared" si="20"/>
        <v>2850.498</v>
      </c>
      <c r="K93" s="43">
        <f t="shared" si="21"/>
        <v>2850.498</v>
      </c>
      <c r="M93" s="16"/>
    </row>
    <row r="94" spans="2:13" ht="23.25" customHeight="1">
      <c r="B94" s="100" t="s">
        <v>240</v>
      </c>
      <c r="C94" s="38" t="s">
        <v>216</v>
      </c>
      <c r="D94" s="54" t="s">
        <v>279</v>
      </c>
      <c r="E94" s="54"/>
      <c r="F94" s="38" t="s">
        <v>8</v>
      </c>
      <c r="G94" s="40">
        <v>6</v>
      </c>
      <c r="H94" s="41">
        <v>337.70600000000002</v>
      </c>
      <c r="I94" s="41">
        <f t="shared" si="22"/>
        <v>337.70600000000002</v>
      </c>
      <c r="J94" s="41">
        <f t="shared" si="20"/>
        <v>2026.2360000000001</v>
      </c>
      <c r="K94" s="43">
        <f t="shared" si="21"/>
        <v>2026.2360000000001</v>
      </c>
      <c r="M94" s="16"/>
    </row>
    <row r="95" spans="2:13" ht="23.25" customHeight="1">
      <c r="B95" s="100" t="s">
        <v>241</v>
      </c>
      <c r="C95" s="38" t="s">
        <v>216</v>
      </c>
      <c r="D95" s="39" t="s">
        <v>281</v>
      </c>
      <c r="E95" s="39"/>
      <c r="F95" s="38" t="s">
        <v>8</v>
      </c>
      <c r="G95" s="40">
        <v>42</v>
      </c>
      <c r="H95" s="41">
        <v>83.82</v>
      </c>
      <c r="I95" s="41">
        <f t="shared" si="22"/>
        <v>83.82</v>
      </c>
      <c r="J95" s="41">
        <f t="shared" si="20"/>
        <v>3520.4399999999996</v>
      </c>
      <c r="K95" s="43">
        <f t="shared" si="21"/>
        <v>3520.4399999999996</v>
      </c>
      <c r="M95" s="16"/>
    </row>
    <row r="96" spans="2:13" ht="23.25" customHeight="1">
      <c r="B96" s="100" t="s">
        <v>242</v>
      </c>
      <c r="C96" s="38" t="s">
        <v>216</v>
      </c>
      <c r="D96" s="39" t="s">
        <v>325</v>
      </c>
      <c r="E96" s="39"/>
      <c r="F96" s="38" t="s">
        <v>8</v>
      </c>
      <c r="G96" s="40">
        <v>3</v>
      </c>
      <c r="H96" s="41">
        <v>236.7</v>
      </c>
      <c r="I96" s="41">
        <f t="shared" si="22"/>
        <v>236.7</v>
      </c>
      <c r="J96" s="41">
        <f t="shared" si="20"/>
        <v>710.09999999999991</v>
      </c>
      <c r="K96" s="43">
        <f t="shared" si="21"/>
        <v>710.09999999999991</v>
      </c>
      <c r="M96" s="16"/>
    </row>
    <row r="97" spans="2:14" ht="23.25" customHeight="1">
      <c r="B97" s="100" t="s">
        <v>243</v>
      </c>
      <c r="C97" s="38" t="s">
        <v>216</v>
      </c>
      <c r="D97" s="39" t="s">
        <v>280</v>
      </c>
      <c r="E97" s="39"/>
      <c r="F97" s="38" t="s">
        <v>8</v>
      </c>
      <c r="G97" s="40">
        <v>30</v>
      </c>
      <c r="H97" s="41">
        <v>21</v>
      </c>
      <c r="I97" s="41">
        <f t="shared" si="22"/>
        <v>21</v>
      </c>
      <c r="J97" s="41">
        <f t="shared" si="20"/>
        <v>630</v>
      </c>
      <c r="K97" s="43">
        <f t="shared" si="21"/>
        <v>630</v>
      </c>
      <c r="M97" s="16"/>
    </row>
    <row r="98" spans="2:14" ht="23.25" customHeight="1">
      <c r="B98" s="100" t="s">
        <v>244</v>
      </c>
      <c r="C98" s="38" t="s">
        <v>216</v>
      </c>
      <c r="D98" s="39" t="s">
        <v>282</v>
      </c>
      <c r="E98" s="39"/>
      <c r="F98" s="38" t="s">
        <v>8</v>
      </c>
      <c r="G98" s="40">
        <v>50</v>
      </c>
      <c r="H98" s="41">
        <v>21.61</v>
      </c>
      <c r="I98" s="41">
        <f t="shared" si="22"/>
        <v>21.61</v>
      </c>
      <c r="J98" s="41">
        <f t="shared" si="20"/>
        <v>1080.5</v>
      </c>
      <c r="K98" s="43">
        <f t="shared" si="21"/>
        <v>1080.5</v>
      </c>
      <c r="M98" s="16"/>
    </row>
    <row r="99" spans="2:14" ht="23.25" customHeight="1">
      <c r="B99" s="100" t="s">
        <v>245</v>
      </c>
      <c r="C99" s="38" t="s">
        <v>216</v>
      </c>
      <c r="D99" s="39" t="s">
        <v>283</v>
      </c>
      <c r="E99" s="39"/>
      <c r="F99" s="38" t="s">
        <v>8</v>
      </c>
      <c r="G99" s="40">
        <v>20</v>
      </c>
      <c r="H99" s="41">
        <v>23</v>
      </c>
      <c r="I99" s="41">
        <f t="shared" si="22"/>
        <v>23</v>
      </c>
      <c r="J99" s="41">
        <f t="shared" si="20"/>
        <v>460</v>
      </c>
      <c r="K99" s="43">
        <f t="shared" si="21"/>
        <v>460</v>
      </c>
      <c r="M99" s="16"/>
    </row>
    <row r="100" spans="2:14" ht="23.25" customHeight="1">
      <c r="B100" s="100" t="s">
        <v>246</v>
      </c>
      <c r="C100" s="38" t="s">
        <v>216</v>
      </c>
      <c r="D100" s="73" t="s">
        <v>284</v>
      </c>
      <c r="E100" s="73"/>
      <c r="F100" s="38" t="s">
        <v>8</v>
      </c>
      <c r="G100" s="40">
        <v>20</v>
      </c>
      <c r="H100" s="41">
        <v>27.663399999999999</v>
      </c>
      <c r="I100" s="41">
        <f t="shared" si="22"/>
        <v>27.663399999999999</v>
      </c>
      <c r="J100" s="41">
        <f t="shared" si="20"/>
        <v>553.26800000000003</v>
      </c>
      <c r="K100" s="43">
        <f t="shared" si="21"/>
        <v>553.26800000000003</v>
      </c>
      <c r="M100" s="16"/>
    </row>
    <row r="101" spans="2:14" ht="23.25" customHeight="1">
      <c r="B101" s="100" t="s">
        <v>247</v>
      </c>
      <c r="C101" s="38" t="s">
        <v>216</v>
      </c>
      <c r="D101" s="73" t="s">
        <v>285</v>
      </c>
      <c r="E101" s="73"/>
      <c r="F101" s="38" t="s">
        <v>8</v>
      </c>
      <c r="G101" s="40">
        <v>50</v>
      </c>
      <c r="H101" s="41">
        <v>18.5</v>
      </c>
      <c r="I101" s="41">
        <f t="shared" si="22"/>
        <v>18.5</v>
      </c>
      <c r="J101" s="41">
        <f t="shared" si="20"/>
        <v>925</v>
      </c>
      <c r="K101" s="43">
        <f t="shared" si="21"/>
        <v>925</v>
      </c>
      <c r="M101" s="16"/>
    </row>
    <row r="102" spans="2:14" ht="23.25" customHeight="1">
      <c r="B102" s="100" t="s">
        <v>248</v>
      </c>
      <c r="C102" s="38" t="s">
        <v>216</v>
      </c>
      <c r="D102" s="73" t="s">
        <v>286</v>
      </c>
      <c r="E102" s="73"/>
      <c r="F102" s="38" t="s">
        <v>8</v>
      </c>
      <c r="G102" s="40">
        <v>50</v>
      </c>
      <c r="H102" s="41">
        <v>22.85</v>
      </c>
      <c r="I102" s="41">
        <f t="shared" si="22"/>
        <v>22.85</v>
      </c>
      <c r="J102" s="41">
        <f t="shared" si="20"/>
        <v>1142.5</v>
      </c>
      <c r="K102" s="43">
        <f t="shared" si="21"/>
        <v>1142.5</v>
      </c>
      <c r="M102" s="16"/>
    </row>
    <row r="103" spans="2:14" ht="23.25" customHeight="1">
      <c r="B103" s="100" t="s">
        <v>249</v>
      </c>
      <c r="C103" s="134" t="s">
        <v>216</v>
      </c>
      <c r="D103" s="73" t="s">
        <v>287</v>
      </c>
      <c r="E103" s="73"/>
      <c r="F103" s="134" t="s">
        <v>8</v>
      </c>
      <c r="G103" s="40">
        <v>1</v>
      </c>
      <c r="H103" s="41">
        <v>1990</v>
      </c>
      <c r="I103" s="41">
        <f t="shared" si="22"/>
        <v>1990</v>
      </c>
      <c r="J103" s="41">
        <f t="shared" si="20"/>
        <v>1990</v>
      </c>
      <c r="K103" s="43">
        <f t="shared" si="21"/>
        <v>1990</v>
      </c>
      <c r="M103" s="16"/>
    </row>
    <row r="104" spans="2:14" ht="23.25" customHeight="1">
      <c r="B104" s="100" t="s">
        <v>250</v>
      </c>
      <c r="C104" s="134" t="s">
        <v>216</v>
      </c>
      <c r="D104" s="73" t="s">
        <v>288</v>
      </c>
      <c r="E104" s="73"/>
      <c r="F104" s="134" t="s">
        <v>8</v>
      </c>
      <c r="G104" s="40">
        <v>2</v>
      </c>
      <c r="H104" s="41">
        <v>2236.96</v>
      </c>
      <c r="I104" s="41">
        <f t="shared" si="22"/>
        <v>2236.96</v>
      </c>
      <c r="J104" s="41">
        <f t="shared" si="20"/>
        <v>4473.92</v>
      </c>
      <c r="K104" s="43">
        <f t="shared" si="21"/>
        <v>4473.92</v>
      </c>
      <c r="M104" s="16"/>
      <c r="N104" s="65"/>
    </row>
    <row r="105" spans="2:14" ht="23.25" customHeight="1">
      <c r="B105" s="100" t="s">
        <v>251</v>
      </c>
      <c r="C105" s="134" t="s">
        <v>216</v>
      </c>
      <c r="D105" s="135" t="s">
        <v>289</v>
      </c>
      <c r="E105" s="135"/>
      <c r="F105" s="134" t="s">
        <v>8</v>
      </c>
      <c r="G105" s="40">
        <v>3</v>
      </c>
      <c r="H105" s="41">
        <v>810.76800000000003</v>
      </c>
      <c r="I105" s="41">
        <f t="shared" si="22"/>
        <v>810.76800000000003</v>
      </c>
      <c r="J105" s="41">
        <f t="shared" si="20"/>
        <v>2432.3040000000001</v>
      </c>
      <c r="K105" s="43">
        <f t="shared" si="21"/>
        <v>2432.3040000000001</v>
      </c>
      <c r="M105" s="16"/>
    </row>
    <row r="106" spans="2:14" ht="23.25" customHeight="1">
      <c r="B106" s="100" t="s">
        <v>252</v>
      </c>
      <c r="C106" s="134" t="s">
        <v>216</v>
      </c>
      <c r="D106" s="73" t="s">
        <v>290</v>
      </c>
      <c r="E106" s="73"/>
      <c r="F106" s="134" t="s">
        <v>8</v>
      </c>
      <c r="G106" s="40">
        <v>3</v>
      </c>
      <c r="H106" s="41">
        <v>272</v>
      </c>
      <c r="I106" s="41">
        <f t="shared" si="22"/>
        <v>272</v>
      </c>
      <c r="J106" s="41">
        <f t="shared" si="20"/>
        <v>816</v>
      </c>
      <c r="K106" s="43">
        <f t="shared" si="21"/>
        <v>816</v>
      </c>
      <c r="M106" s="16"/>
    </row>
    <row r="107" spans="2:14" ht="23.25" customHeight="1">
      <c r="B107" s="100" t="s">
        <v>253</v>
      </c>
      <c r="C107" s="134" t="s">
        <v>216</v>
      </c>
      <c r="D107" s="73" t="s">
        <v>291</v>
      </c>
      <c r="E107" s="73"/>
      <c r="F107" s="134" t="s">
        <v>8</v>
      </c>
      <c r="G107" s="40">
        <v>3</v>
      </c>
      <c r="H107" s="41">
        <v>272</v>
      </c>
      <c r="I107" s="41">
        <f t="shared" si="22"/>
        <v>272</v>
      </c>
      <c r="J107" s="41">
        <f t="shared" si="20"/>
        <v>816</v>
      </c>
      <c r="K107" s="43">
        <f t="shared" si="21"/>
        <v>816</v>
      </c>
      <c r="M107" s="16"/>
    </row>
    <row r="108" spans="2:14" ht="23.25" customHeight="1">
      <c r="B108" s="100" t="s">
        <v>254</v>
      </c>
      <c r="C108" s="134" t="s">
        <v>216</v>
      </c>
      <c r="D108" s="73" t="s">
        <v>292</v>
      </c>
      <c r="E108" s="73"/>
      <c r="F108" s="134" t="s">
        <v>8</v>
      </c>
      <c r="G108" s="40">
        <v>3</v>
      </c>
      <c r="H108" s="41">
        <v>140.56</v>
      </c>
      <c r="I108" s="41">
        <f t="shared" si="22"/>
        <v>140.56</v>
      </c>
      <c r="J108" s="41">
        <f t="shared" si="20"/>
        <v>421.68</v>
      </c>
      <c r="K108" s="43">
        <f t="shared" si="21"/>
        <v>421.68</v>
      </c>
      <c r="M108" s="16"/>
    </row>
    <row r="109" spans="2:14" ht="23.25" customHeight="1">
      <c r="B109" s="100" t="s">
        <v>255</v>
      </c>
      <c r="C109" s="134" t="s">
        <v>216</v>
      </c>
      <c r="D109" s="73" t="s">
        <v>293</v>
      </c>
      <c r="E109" s="73"/>
      <c r="F109" s="134" t="s">
        <v>8</v>
      </c>
      <c r="G109" s="40">
        <v>0</v>
      </c>
      <c r="H109" s="41">
        <v>50930.879999999997</v>
      </c>
      <c r="I109" s="41">
        <f t="shared" si="22"/>
        <v>50930.879999999997</v>
      </c>
      <c r="J109" s="41">
        <f t="shared" si="20"/>
        <v>0</v>
      </c>
      <c r="K109" s="43">
        <f t="shared" si="21"/>
        <v>0</v>
      </c>
      <c r="M109" s="16"/>
    </row>
    <row r="110" spans="2:14" ht="23.25" customHeight="1">
      <c r="B110" s="100" t="s">
        <v>256</v>
      </c>
      <c r="C110" s="134" t="s">
        <v>216</v>
      </c>
      <c r="D110" s="73" t="s">
        <v>294</v>
      </c>
      <c r="E110" s="73"/>
      <c r="F110" s="134" t="s">
        <v>8</v>
      </c>
      <c r="G110" s="40">
        <v>9</v>
      </c>
      <c r="H110" s="41">
        <v>248.64</v>
      </c>
      <c r="I110" s="41">
        <f t="shared" si="22"/>
        <v>248.64</v>
      </c>
      <c r="J110" s="41">
        <f t="shared" si="20"/>
        <v>2237.7599999999998</v>
      </c>
      <c r="K110" s="43">
        <f t="shared" si="21"/>
        <v>2237.7599999999998</v>
      </c>
      <c r="M110" s="16"/>
    </row>
    <row r="111" spans="2:14" ht="23.25" customHeight="1">
      <c r="B111" s="100" t="s">
        <v>257</v>
      </c>
      <c r="C111" s="134" t="s">
        <v>216</v>
      </c>
      <c r="D111" s="73" t="s">
        <v>295</v>
      </c>
      <c r="E111" s="73"/>
      <c r="F111" s="134" t="s">
        <v>8</v>
      </c>
      <c r="G111" s="40">
        <v>0</v>
      </c>
      <c r="H111" s="41">
        <v>46205.120000000003</v>
      </c>
      <c r="I111" s="41">
        <f t="shared" si="22"/>
        <v>46205.120000000003</v>
      </c>
      <c r="J111" s="41">
        <f t="shared" si="20"/>
        <v>0</v>
      </c>
      <c r="K111" s="43">
        <f t="shared" si="21"/>
        <v>0</v>
      </c>
      <c r="M111" s="16"/>
    </row>
    <row r="112" spans="2:14" ht="23.25" customHeight="1">
      <c r="B112" s="100" t="s">
        <v>258</v>
      </c>
      <c r="C112" s="134" t="s">
        <v>216</v>
      </c>
      <c r="D112" s="73" t="s">
        <v>296</v>
      </c>
      <c r="E112" s="73"/>
      <c r="F112" s="134" t="s">
        <v>8</v>
      </c>
      <c r="G112" s="40">
        <v>1</v>
      </c>
      <c r="H112" s="41">
        <v>1536</v>
      </c>
      <c r="I112" s="41">
        <f t="shared" si="22"/>
        <v>1536</v>
      </c>
      <c r="J112" s="41">
        <f t="shared" si="20"/>
        <v>1536</v>
      </c>
      <c r="K112" s="43">
        <f t="shared" si="21"/>
        <v>1536</v>
      </c>
      <c r="M112" s="16"/>
    </row>
    <row r="113" spans="2:13" ht="23.25" customHeight="1">
      <c r="B113" s="100" t="s">
        <v>259</v>
      </c>
      <c r="C113" s="134" t="s">
        <v>216</v>
      </c>
      <c r="D113" s="73" t="s">
        <v>297</v>
      </c>
      <c r="E113" s="73"/>
      <c r="F113" s="134" t="s">
        <v>8</v>
      </c>
      <c r="G113" s="40">
        <v>15</v>
      </c>
      <c r="H113" s="41">
        <v>29.16</v>
      </c>
      <c r="I113" s="41">
        <f t="shared" si="22"/>
        <v>29.16</v>
      </c>
      <c r="J113" s="41">
        <f t="shared" si="20"/>
        <v>437.4</v>
      </c>
      <c r="K113" s="43">
        <f t="shared" si="21"/>
        <v>437.4</v>
      </c>
      <c r="M113" s="16"/>
    </row>
    <row r="114" spans="2:13" ht="23.25" customHeight="1">
      <c r="B114" s="100" t="s">
        <v>260</v>
      </c>
      <c r="C114" s="134" t="s">
        <v>216</v>
      </c>
      <c r="D114" s="73" t="s">
        <v>298</v>
      </c>
      <c r="E114" s="73"/>
      <c r="F114" s="134" t="s">
        <v>8</v>
      </c>
      <c r="G114" s="40">
        <v>15</v>
      </c>
      <c r="H114" s="41">
        <v>71.828500000000005</v>
      </c>
      <c r="I114" s="41">
        <f t="shared" si="22"/>
        <v>71.828500000000005</v>
      </c>
      <c r="J114" s="41">
        <f t="shared" si="20"/>
        <v>1077.4275</v>
      </c>
      <c r="K114" s="43">
        <f t="shared" si="21"/>
        <v>1077.4275</v>
      </c>
      <c r="M114" s="16"/>
    </row>
    <row r="115" spans="2:13" ht="23.25" customHeight="1">
      <c r="B115" s="100" t="s">
        <v>261</v>
      </c>
      <c r="C115" s="134" t="s">
        <v>216</v>
      </c>
      <c r="D115" s="73" t="s">
        <v>299</v>
      </c>
      <c r="E115" s="73"/>
      <c r="F115" s="134" t="s">
        <v>8</v>
      </c>
      <c r="G115" s="40">
        <v>15</v>
      </c>
      <c r="H115" s="41">
        <v>15.468999999999999</v>
      </c>
      <c r="I115" s="41">
        <f t="shared" si="22"/>
        <v>15.468999999999999</v>
      </c>
      <c r="J115" s="41">
        <f t="shared" si="20"/>
        <v>232.035</v>
      </c>
      <c r="K115" s="43">
        <f t="shared" si="21"/>
        <v>232.035</v>
      </c>
      <c r="M115" s="16"/>
    </row>
    <row r="116" spans="2:13" ht="23.25" customHeight="1">
      <c r="B116" s="100" t="s">
        <v>262</v>
      </c>
      <c r="C116" s="134" t="s">
        <v>216</v>
      </c>
      <c r="D116" s="73" t="s">
        <v>300</v>
      </c>
      <c r="E116" s="73"/>
      <c r="F116" s="134" t="s">
        <v>8</v>
      </c>
      <c r="G116" s="40">
        <v>25</v>
      </c>
      <c r="H116" s="41">
        <v>1.32</v>
      </c>
      <c r="I116" s="41">
        <f t="shared" si="22"/>
        <v>1.32</v>
      </c>
      <c r="J116" s="41">
        <f t="shared" si="20"/>
        <v>33</v>
      </c>
      <c r="K116" s="43">
        <f t="shared" si="21"/>
        <v>33</v>
      </c>
      <c r="M116" s="16"/>
    </row>
    <row r="117" spans="2:13" ht="23.25" customHeight="1">
      <c r="B117" s="100" t="s">
        <v>263</v>
      </c>
      <c r="C117" s="134" t="s">
        <v>216</v>
      </c>
      <c r="D117" s="73" t="s">
        <v>301</v>
      </c>
      <c r="E117" s="73"/>
      <c r="F117" s="134" t="s">
        <v>8</v>
      </c>
      <c r="G117" s="40">
        <v>1</v>
      </c>
      <c r="H117" s="41">
        <v>47</v>
      </c>
      <c r="I117" s="41">
        <f t="shared" si="22"/>
        <v>47</v>
      </c>
      <c r="J117" s="41">
        <f t="shared" si="20"/>
        <v>47</v>
      </c>
      <c r="K117" s="43">
        <f t="shared" si="21"/>
        <v>47</v>
      </c>
      <c r="M117" s="16"/>
    </row>
    <row r="118" spans="2:13" ht="23.25" customHeight="1">
      <c r="B118" s="100" t="s">
        <v>264</v>
      </c>
      <c r="C118" s="134" t="s">
        <v>216</v>
      </c>
      <c r="D118" s="73" t="s">
        <v>302</v>
      </c>
      <c r="E118" s="73"/>
      <c r="F118" s="134" t="s">
        <v>8</v>
      </c>
      <c r="G118" s="40">
        <v>6</v>
      </c>
      <c r="H118" s="41">
        <f>40</f>
        <v>40</v>
      </c>
      <c r="I118" s="41">
        <f t="shared" si="22"/>
        <v>40</v>
      </c>
      <c r="J118" s="41">
        <f t="shared" si="20"/>
        <v>240</v>
      </c>
      <c r="K118" s="43">
        <f t="shared" si="21"/>
        <v>240</v>
      </c>
      <c r="M118" s="16"/>
    </row>
    <row r="119" spans="2:13" ht="23.25" customHeight="1">
      <c r="B119" s="100" t="s">
        <v>265</v>
      </c>
      <c r="C119" s="134" t="s">
        <v>216</v>
      </c>
      <c r="D119" s="73" t="s">
        <v>303</v>
      </c>
      <c r="E119" s="73"/>
      <c r="F119" s="134" t="s">
        <v>7</v>
      </c>
      <c r="G119" s="40">
        <v>30</v>
      </c>
      <c r="H119" s="41">
        <v>106.5</v>
      </c>
      <c r="I119" s="41">
        <f t="shared" si="22"/>
        <v>106.5</v>
      </c>
      <c r="J119" s="41">
        <f t="shared" si="20"/>
        <v>3195</v>
      </c>
      <c r="K119" s="43">
        <f t="shared" si="21"/>
        <v>3195</v>
      </c>
      <c r="M119" s="16"/>
    </row>
    <row r="120" spans="2:13" ht="23.25" customHeight="1">
      <c r="B120" s="100" t="s">
        <v>266</v>
      </c>
      <c r="C120" s="134" t="s">
        <v>216</v>
      </c>
      <c r="D120" s="73" t="s">
        <v>304</v>
      </c>
      <c r="E120" s="73"/>
      <c r="F120" s="134" t="s">
        <v>17</v>
      </c>
      <c r="G120" s="40">
        <v>5</v>
      </c>
      <c r="H120" s="41">
        <v>20</v>
      </c>
      <c r="I120" s="41">
        <f t="shared" si="22"/>
        <v>20</v>
      </c>
      <c r="J120" s="41">
        <f t="shared" si="20"/>
        <v>100</v>
      </c>
      <c r="K120" s="43">
        <f t="shared" si="21"/>
        <v>100</v>
      </c>
      <c r="M120" s="16"/>
    </row>
    <row r="121" spans="2:13" ht="23.25" customHeight="1">
      <c r="B121" s="100" t="s">
        <v>267</v>
      </c>
      <c r="C121" s="134" t="s">
        <v>216</v>
      </c>
      <c r="D121" s="73" t="s">
        <v>305</v>
      </c>
      <c r="E121" s="73"/>
      <c r="F121" s="134" t="s">
        <v>8</v>
      </c>
      <c r="G121" s="40">
        <v>1</v>
      </c>
      <c r="H121" s="41">
        <v>500</v>
      </c>
      <c r="I121" s="41">
        <f t="shared" si="22"/>
        <v>500</v>
      </c>
      <c r="J121" s="41">
        <f t="shared" si="20"/>
        <v>500</v>
      </c>
      <c r="K121" s="43">
        <f t="shared" si="21"/>
        <v>500</v>
      </c>
      <c r="M121" s="16"/>
    </row>
    <row r="122" spans="2:13" ht="23.25" customHeight="1">
      <c r="B122" s="100" t="s">
        <v>268</v>
      </c>
      <c r="C122" s="134" t="s">
        <v>216</v>
      </c>
      <c r="D122" s="73" t="s">
        <v>306</v>
      </c>
      <c r="E122" s="73"/>
      <c r="F122" s="134" t="s">
        <v>8</v>
      </c>
      <c r="G122" s="40">
        <v>1</v>
      </c>
      <c r="H122" s="41">
        <v>1480</v>
      </c>
      <c r="I122" s="41">
        <f t="shared" si="22"/>
        <v>1480</v>
      </c>
      <c r="J122" s="41">
        <f t="shared" si="20"/>
        <v>1480</v>
      </c>
      <c r="K122" s="43">
        <f t="shared" si="21"/>
        <v>1480</v>
      </c>
      <c r="M122" s="16"/>
    </row>
    <row r="123" spans="2:13" ht="23.25" customHeight="1">
      <c r="B123" s="100" t="s">
        <v>269</v>
      </c>
      <c r="C123" s="134" t="s">
        <v>216</v>
      </c>
      <c r="D123" s="73" t="s">
        <v>307</v>
      </c>
      <c r="E123" s="73"/>
      <c r="F123" s="134" t="s">
        <v>8</v>
      </c>
      <c r="G123" s="40">
        <v>1</v>
      </c>
      <c r="H123" s="41">
        <v>499.85</v>
      </c>
      <c r="I123" s="41">
        <f t="shared" si="22"/>
        <v>499.85</v>
      </c>
      <c r="J123" s="41">
        <f t="shared" si="20"/>
        <v>499.85</v>
      </c>
      <c r="K123" s="43">
        <f t="shared" si="21"/>
        <v>499.85</v>
      </c>
      <c r="M123" s="16"/>
    </row>
    <row r="124" spans="2:13" ht="23.25" customHeight="1">
      <c r="B124" s="100" t="s">
        <v>270</v>
      </c>
      <c r="C124" s="134" t="s">
        <v>216</v>
      </c>
      <c r="D124" s="73" t="s">
        <v>308</v>
      </c>
      <c r="E124" s="73"/>
      <c r="F124" s="134" t="s">
        <v>8</v>
      </c>
      <c r="G124" s="40">
        <v>2</v>
      </c>
      <c r="H124" s="41">
        <v>1260</v>
      </c>
      <c r="I124" s="41">
        <f t="shared" si="22"/>
        <v>1260</v>
      </c>
      <c r="J124" s="41">
        <f t="shared" si="20"/>
        <v>2520</v>
      </c>
      <c r="K124" s="43">
        <f t="shared" si="21"/>
        <v>2520</v>
      </c>
      <c r="M124" s="16"/>
    </row>
    <row r="125" spans="2:13" ht="23.25" customHeight="1">
      <c r="B125" s="100" t="s">
        <v>271</v>
      </c>
      <c r="C125" s="134" t="s">
        <v>216</v>
      </c>
      <c r="D125" s="73" t="s">
        <v>309</v>
      </c>
      <c r="E125" s="73"/>
      <c r="F125" s="134" t="s">
        <v>8</v>
      </c>
      <c r="G125" s="40">
        <v>60</v>
      </c>
      <c r="H125" s="41">
        <v>14.262499999999999</v>
      </c>
      <c r="I125" s="41">
        <f t="shared" si="22"/>
        <v>14.262499999999999</v>
      </c>
      <c r="J125" s="41">
        <f t="shared" si="20"/>
        <v>855.75</v>
      </c>
      <c r="K125" s="43">
        <f t="shared" si="21"/>
        <v>855.75</v>
      </c>
      <c r="M125" s="16"/>
    </row>
    <row r="126" spans="2:13" ht="23.25" customHeight="1">
      <c r="B126" s="100" t="s">
        <v>272</v>
      </c>
      <c r="C126" s="134" t="s">
        <v>216</v>
      </c>
      <c r="D126" s="73" t="s">
        <v>310</v>
      </c>
      <c r="E126" s="73"/>
      <c r="F126" s="134" t="s">
        <v>8</v>
      </c>
      <c r="G126" s="40">
        <v>1</v>
      </c>
      <c r="H126" s="41">
        <v>479.3</v>
      </c>
      <c r="I126" s="41">
        <f t="shared" si="22"/>
        <v>479.3</v>
      </c>
      <c r="J126" s="41">
        <f t="shared" si="20"/>
        <v>479.3</v>
      </c>
      <c r="K126" s="43">
        <f t="shared" si="21"/>
        <v>479.3</v>
      </c>
      <c r="M126" s="16"/>
    </row>
    <row r="127" spans="2:13" ht="23.25" customHeight="1">
      <c r="B127" s="100" t="s">
        <v>273</v>
      </c>
      <c r="C127" s="134" t="s">
        <v>216</v>
      </c>
      <c r="D127" s="73" t="s">
        <v>311</v>
      </c>
      <c r="E127" s="73"/>
      <c r="F127" s="134" t="s">
        <v>8</v>
      </c>
      <c r="G127" s="40">
        <v>1</v>
      </c>
      <c r="H127" s="41">
        <v>1140</v>
      </c>
      <c r="I127" s="41">
        <f t="shared" si="22"/>
        <v>1140</v>
      </c>
      <c r="J127" s="41">
        <f t="shared" si="20"/>
        <v>1140</v>
      </c>
      <c r="K127" s="43">
        <f t="shared" si="21"/>
        <v>1140</v>
      </c>
      <c r="M127" s="16"/>
    </row>
    <row r="128" spans="2:13" ht="23.25" customHeight="1">
      <c r="B128" s="100" t="s">
        <v>274</v>
      </c>
      <c r="C128" s="134" t="s">
        <v>216</v>
      </c>
      <c r="D128" s="73" t="s">
        <v>312</v>
      </c>
      <c r="E128" s="73"/>
      <c r="F128" s="134" t="s">
        <v>8</v>
      </c>
      <c r="G128" s="40">
        <v>0</v>
      </c>
      <c r="H128" s="41">
        <v>10011.9</v>
      </c>
      <c r="I128" s="41">
        <f t="shared" si="22"/>
        <v>10011.9</v>
      </c>
      <c r="J128" s="41">
        <f t="shared" si="20"/>
        <v>0</v>
      </c>
      <c r="K128" s="43">
        <f t="shared" si="21"/>
        <v>0</v>
      </c>
      <c r="M128" s="16"/>
    </row>
    <row r="129" spans="2:13" ht="23.25" customHeight="1">
      <c r="B129" s="100" t="s">
        <v>275</v>
      </c>
      <c r="C129" s="134" t="s">
        <v>216</v>
      </c>
      <c r="D129" s="73" t="s">
        <v>313</v>
      </c>
      <c r="E129" s="73"/>
      <c r="F129" s="134" t="s">
        <v>8</v>
      </c>
      <c r="G129" s="40">
        <v>0</v>
      </c>
      <c r="H129" s="41">
        <v>1171.3610000000001</v>
      </c>
      <c r="I129" s="41">
        <f t="shared" si="22"/>
        <v>1171.3610000000001</v>
      </c>
      <c r="J129" s="41">
        <f t="shared" si="20"/>
        <v>0</v>
      </c>
      <c r="K129" s="43">
        <f t="shared" si="21"/>
        <v>0</v>
      </c>
      <c r="M129" s="16"/>
    </row>
    <row r="130" spans="2:13" ht="23.25" customHeight="1">
      <c r="B130" s="100" t="s">
        <v>276</v>
      </c>
      <c r="C130" s="134" t="s">
        <v>216</v>
      </c>
      <c r="D130" s="73" t="s">
        <v>314</v>
      </c>
      <c r="E130" s="73"/>
      <c r="F130" s="134" t="s">
        <v>8</v>
      </c>
      <c r="G130" s="40">
        <v>0</v>
      </c>
      <c r="H130" s="41">
        <v>261066</v>
      </c>
      <c r="I130" s="41">
        <f t="shared" si="22"/>
        <v>261066</v>
      </c>
      <c r="J130" s="41">
        <f t="shared" si="20"/>
        <v>0</v>
      </c>
      <c r="K130" s="43">
        <f t="shared" si="21"/>
        <v>0</v>
      </c>
      <c r="M130" s="16"/>
    </row>
    <row r="131" spans="2:13" ht="23.25" customHeight="1">
      <c r="B131" s="100" t="s">
        <v>316</v>
      </c>
      <c r="C131" s="134" t="s">
        <v>216</v>
      </c>
      <c r="D131" s="73" t="s">
        <v>315</v>
      </c>
      <c r="E131" s="73"/>
      <c r="F131" s="134" t="s">
        <v>8</v>
      </c>
      <c r="G131" s="40">
        <v>0</v>
      </c>
      <c r="H131" s="41">
        <v>19200</v>
      </c>
      <c r="I131" s="41">
        <f t="shared" si="22"/>
        <v>19200</v>
      </c>
      <c r="J131" s="41">
        <f t="shared" si="20"/>
        <v>0</v>
      </c>
      <c r="K131" s="43">
        <f t="shared" si="21"/>
        <v>0</v>
      </c>
      <c r="M131" s="16"/>
    </row>
    <row r="132" spans="2:13" ht="23.25" customHeight="1">
      <c r="B132" s="100" t="s">
        <v>317</v>
      </c>
      <c r="C132" s="38" t="s">
        <v>75</v>
      </c>
      <c r="D132" s="73" t="s">
        <v>76</v>
      </c>
      <c r="E132" s="73"/>
      <c r="F132" s="38" t="s">
        <v>8</v>
      </c>
      <c r="G132" s="40">
        <v>3</v>
      </c>
      <c r="H132" s="41">
        <f>42.23*0.89</f>
        <v>37.584699999999998</v>
      </c>
      <c r="I132" s="41">
        <f t="shared" ref="I132:I141" si="23">H132*1.11</f>
        <v>41.719017000000001</v>
      </c>
      <c r="J132" s="41">
        <f t="shared" si="20"/>
        <v>125.157051</v>
      </c>
      <c r="K132" s="43">
        <f t="shared" si="21"/>
        <v>112.75409999999999</v>
      </c>
      <c r="M132" s="16"/>
    </row>
    <row r="133" spans="2:13" ht="23.25" customHeight="1">
      <c r="B133" s="100" t="s">
        <v>318</v>
      </c>
      <c r="C133" s="38" t="s">
        <v>77</v>
      </c>
      <c r="D133" s="73" t="s">
        <v>78</v>
      </c>
      <c r="E133" s="73"/>
      <c r="F133" s="38" t="s">
        <v>8</v>
      </c>
      <c r="G133" s="40">
        <v>3</v>
      </c>
      <c r="H133" s="41">
        <f>36.82*0.89</f>
        <v>32.769800000000004</v>
      </c>
      <c r="I133" s="41">
        <f t="shared" si="23"/>
        <v>36.374478000000011</v>
      </c>
      <c r="J133" s="41">
        <f t="shared" si="20"/>
        <v>109.12343400000003</v>
      </c>
      <c r="K133" s="43">
        <f t="shared" si="21"/>
        <v>98.309400000000011</v>
      </c>
      <c r="M133" s="16"/>
    </row>
    <row r="134" spans="2:13" ht="23.25" customHeight="1">
      <c r="B134" s="100" t="s">
        <v>319</v>
      </c>
      <c r="C134" s="38" t="s">
        <v>178</v>
      </c>
      <c r="D134" s="131" t="s">
        <v>179</v>
      </c>
      <c r="E134" s="131"/>
      <c r="F134" s="38" t="s">
        <v>8</v>
      </c>
      <c r="G134" s="40">
        <v>1</v>
      </c>
      <c r="H134" s="41">
        <f>31.1*0.89</f>
        <v>27.679000000000002</v>
      </c>
      <c r="I134" s="41">
        <f t="shared" si="23"/>
        <v>30.723690000000005</v>
      </c>
      <c r="J134" s="41">
        <f t="shared" si="20"/>
        <v>30.723690000000005</v>
      </c>
      <c r="K134" s="43">
        <f>G134*H134</f>
        <v>27.679000000000002</v>
      </c>
      <c r="M134" s="55"/>
    </row>
    <row r="135" spans="2:13" ht="23.25" customHeight="1">
      <c r="B135" s="100" t="s">
        <v>320</v>
      </c>
      <c r="C135" s="38" t="s">
        <v>68</v>
      </c>
      <c r="D135" s="54" t="s">
        <v>69</v>
      </c>
      <c r="E135" s="54"/>
      <c r="F135" s="38" t="s">
        <v>8</v>
      </c>
      <c r="G135" s="40">
        <v>2</v>
      </c>
      <c r="H135" s="41">
        <f>257*0.89</f>
        <v>228.73</v>
      </c>
      <c r="I135" s="41">
        <f t="shared" si="23"/>
        <v>253.89030000000002</v>
      </c>
      <c r="J135" s="41">
        <f t="shared" si="20"/>
        <v>507.78060000000005</v>
      </c>
      <c r="K135" s="43">
        <f>G135*H135</f>
        <v>457.46</v>
      </c>
      <c r="M135" s="16"/>
    </row>
    <row r="136" spans="2:13" ht="23.25" customHeight="1">
      <c r="B136" s="100" t="s">
        <v>321</v>
      </c>
      <c r="C136" s="38" t="s">
        <v>71</v>
      </c>
      <c r="D136" s="54" t="s">
        <v>72</v>
      </c>
      <c r="E136" s="54"/>
      <c r="F136" s="38" t="s">
        <v>8</v>
      </c>
      <c r="G136" s="40">
        <v>1</v>
      </c>
      <c r="H136" s="41">
        <f>6.74*0.89</f>
        <v>5.9986000000000006</v>
      </c>
      <c r="I136" s="41">
        <f t="shared" si="23"/>
        <v>6.6584460000000014</v>
      </c>
      <c r="J136" s="41">
        <f t="shared" si="20"/>
        <v>6.6584460000000014</v>
      </c>
      <c r="K136" s="43">
        <f t="shared" ref="K136:K137" si="24">G136*H136</f>
        <v>5.9986000000000006</v>
      </c>
      <c r="M136" s="16"/>
    </row>
    <row r="137" spans="2:13" ht="23.25" customHeight="1">
      <c r="B137" s="100" t="s">
        <v>322</v>
      </c>
      <c r="C137" s="38" t="s">
        <v>73</v>
      </c>
      <c r="D137" s="54" t="s">
        <v>74</v>
      </c>
      <c r="E137" s="54"/>
      <c r="F137" s="38" t="s">
        <v>8</v>
      </c>
      <c r="G137" s="40">
        <v>1</v>
      </c>
      <c r="H137" s="41">
        <f>6.22*0.89</f>
        <v>5.5358000000000001</v>
      </c>
      <c r="I137" s="41">
        <f t="shared" si="23"/>
        <v>6.1447380000000003</v>
      </c>
      <c r="J137" s="41">
        <f t="shared" si="20"/>
        <v>6.1447380000000003</v>
      </c>
      <c r="K137" s="43">
        <f t="shared" si="24"/>
        <v>5.5358000000000001</v>
      </c>
      <c r="M137" s="16"/>
    </row>
    <row r="138" spans="2:13" ht="23.25" customHeight="1">
      <c r="B138" s="100" t="s">
        <v>323</v>
      </c>
      <c r="C138" s="38" t="s">
        <v>63</v>
      </c>
      <c r="D138" s="131" t="s">
        <v>64</v>
      </c>
      <c r="E138" s="131"/>
      <c r="F138" s="38" t="s">
        <v>8</v>
      </c>
      <c r="G138" s="40">
        <v>2</v>
      </c>
      <c r="H138" s="41">
        <f>363.92*0.89</f>
        <v>323.8888</v>
      </c>
      <c r="I138" s="41">
        <f t="shared" si="23"/>
        <v>359.51656800000006</v>
      </c>
      <c r="J138" s="41">
        <f t="shared" si="20"/>
        <v>719.03313600000013</v>
      </c>
      <c r="K138" s="43">
        <f>G138*H138</f>
        <v>647.77760000000001</v>
      </c>
      <c r="M138" s="16"/>
    </row>
    <row r="139" spans="2:13" ht="23.25" customHeight="1">
      <c r="B139" s="100" t="s">
        <v>324</v>
      </c>
      <c r="C139" s="38" t="s">
        <v>59</v>
      </c>
      <c r="D139" s="54" t="s">
        <v>60</v>
      </c>
      <c r="E139" s="54"/>
      <c r="F139" s="38" t="s">
        <v>8</v>
      </c>
      <c r="G139" s="40">
        <v>1</v>
      </c>
      <c r="H139" s="41">
        <f>29.77*0.89</f>
        <v>26.4953</v>
      </c>
      <c r="I139" s="41">
        <f t="shared" si="23"/>
        <v>29.409783000000004</v>
      </c>
      <c r="J139" s="41">
        <f t="shared" si="20"/>
        <v>29.409783000000004</v>
      </c>
      <c r="K139" s="43">
        <f>G139*H139</f>
        <v>26.4953</v>
      </c>
      <c r="M139" s="16"/>
    </row>
    <row r="140" spans="2:13" ht="23.25" customHeight="1">
      <c r="B140" s="100" t="s">
        <v>327</v>
      </c>
      <c r="C140" s="38" t="s">
        <v>340</v>
      </c>
      <c r="D140" s="54" t="s">
        <v>326</v>
      </c>
      <c r="E140" s="54"/>
      <c r="F140" s="38" t="s">
        <v>22</v>
      </c>
      <c r="G140" s="40">
        <v>0</v>
      </c>
      <c r="H140" s="41">
        <f>103.56*0.89</f>
        <v>92.168400000000005</v>
      </c>
      <c r="I140" s="41">
        <f t="shared" si="23"/>
        <v>102.30692400000001</v>
      </c>
      <c r="J140" s="41">
        <f t="shared" si="20"/>
        <v>0</v>
      </c>
      <c r="K140" s="43">
        <f t="shared" ref="K140" si="25">G140*H140</f>
        <v>0</v>
      </c>
      <c r="M140" s="16"/>
    </row>
    <row r="141" spans="2:13" ht="23.25" customHeight="1">
      <c r="B141" s="100" t="s">
        <v>328</v>
      </c>
      <c r="C141" s="38" t="s">
        <v>331</v>
      </c>
      <c r="D141" s="54" t="s">
        <v>332</v>
      </c>
      <c r="E141" s="54"/>
      <c r="F141" s="38" t="s">
        <v>8</v>
      </c>
      <c r="G141" s="40">
        <v>80</v>
      </c>
      <c r="H141" s="41">
        <f>31.99*0.89</f>
        <v>28.4711</v>
      </c>
      <c r="I141" s="41">
        <f t="shared" si="23"/>
        <v>31.602921000000002</v>
      </c>
      <c r="J141" s="41">
        <f t="shared" si="20"/>
        <v>2528.2336800000003</v>
      </c>
      <c r="K141" s="43">
        <f>G141*H141</f>
        <v>2277.6880000000001</v>
      </c>
      <c r="M141" s="16"/>
    </row>
    <row r="142" spans="2:13" ht="23.25" customHeight="1">
      <c r="B142" s="100" t="s">
        <v>329</v>
      </c>
      <c r="C142" s="38" t="s">
        <v>216</v>
      </c>
      <c r="D142" s="54" t="s">
        <v>339</v>
      </c>
      <c r="E142" s="54"/>
      <c r="F142" s="38" t="s">
        <v>8</v>
      </c>
      <c r="G142" s="40">
        <v>0</v>
      </c>
      <c r="H142" s="41">
        <v>232714.09</v>
      </c>
      <c r="I142" s="41">
        <f>H142</f>
        <v>232714.09</v>
      </c>
      <c r="J142" s="41">
        <f t="shared" si="20"/>
        <v>0</v>
      </c>
      <c r="K142" s="43">
        <f>G142*H142</f>
        <v>0</v>
      </c>
      <c r="M142" s="16"/>
    </row>
    <row r="143" spans="2:13" ht="23.25" customHeight="1">
      <c r="B143" s="100" t="s">
        <v>330</v>
      </c>
      <c r="C143" s="38" t="s">
        <v>216</v>
      </c>
      <c r="D143" s="54" t="s">
        <v>337</v>
      </c>
      <c r="E143" s="54"/>
      <c r="F143" s="38" t="s">
        <v>8</v>
      </c>
      <c r="G143" s="40">
        <v>0</v>
      </c>
      <c r="H143" s="41">
        <v>225000</v>
      </c>
      <c r="I143" s="41">
        <f t="shared" ref="I143:I145" si="26">H143</f>
        <v>225000</v>
      </c>
      <c r="J143" s="41">
        <f t="shared" si="20"/>
        <v>0</v>
      </c>
      <c r="K143" s="43">
        <f t="shared" ref="K143:K145" si="27">G143*H143</f>
        <v>0</v>
      </c>
      <c r="M143" s="16"/>
    </row>
    <row r="144" spans="2:13" ht="23.25" customHeight="1">
      <c r="B144" s="100" t="s">
        <v>333</v>
      </c>
      <c r="C144" s="38" t="s">
        <v>216</v>
      </c>
      <c r="D144" s="54" t="s">
        <v>346</v>
      </c>
      <c r="E144" s="54"/>
      <c r="F144" s="38" t="s">
        <v>8</v>
      </c>
      <c r="G144" s="40">
        <v>0</v>
      </c>
      <c r="H144" s="41">
        <f>(57000)*1.13</f>
        <v>64409.999999999993</v>
      </c>
      <c r="I144" s="41">
        <f t="shared" si="26"/>
        <v>64409.999999999993</v>
      </c>
      <c r="J144" s="41">
        <f t="shared" si="20"/>
        <v>0</v>
      </c>
      <c r="K144" s="43">
        <f t="shared" si="27"/>
        <v>0</v>
      </c>
      <c r="M144" s="138"/>
    </row>
    <row r="145" spans="2:14" ht="23.25" customHeight="1" thickBot="1">
      <c r="B145" s="107" t="s">
        <v>334</v>
      </c>
      <c r="C145" s="50" t="s">
        <v>216</v>
      </c>
      <c r="D145" s="71" t="s">
        <v>338</v>
      </c>
      <c r="E145" s="71"/>
      <c r="F145" s="50" t="s">
        <v>8</v>
      </c>
      <c r="G145" s="51">
        <v>0</v>
      </c>
      <c r="H145" s="52">
        <f>(28000+8500)*1.13</f>
        <v>41244.999999999993</v>
      </c>
      <c r="I145" s="47">
        <f t="shared" si="26"/>
        <v>41244.999999999993</v>
      </c>
      <c r="J145" s="47">
        <f t="shared" si="20"/>
        <v>0</v>
      </c>
      <c r="K145" s="43">
        <f t="shared" si="27"/>
        <v>0</v>
      </c>
      <c r="M145" s="138"/>
    </row>
    <row r="146" spans="2:14" ht="23.25" customHeight="1" thickBot="1">
      <c r="B146" s="29" t="s">
        <v>28</v>
      </c>
      <c r="C146" s="233" t="s">
        <v>29</v>
      </c>
      <c r="D146" s="233"/>
      <c r="E146" s="219"/>
      <c r="F146" s="30"/>
      <c r="G146" s="31"/>
      <c r="H146" s="32"/>
      <c r="I146" s="32"/>
      <c r="J146" s="33">
        <f>SUM(J147:J148)</f>
        <v>3273.3471360000008</v>
      </c>
      <c r="K146" s="33">
        <f>SUM(K147:K148)</f>
        <v>2977.9776000000002</v>
      </c>
    </row>
    <row r="147" spans="2:14" ht="23.25" customHeight="1">
      <c r="B147" s="18" t="s">
        <v>236</v>
      </c>
      <c r="C147" s="19" t="s">
        <v>198</v>
      </c>
      <c r="D147" s="87" t="s">
        <v>199</v>
      </c>
      <c r="E147" s="87" t="s">
        <v>451</v>
      </c>
      <c r="F147" s="57" t="s">
        <v>7</v>
      </c>
      <c r="G147" s="21">
        <f>1.6*2.1</f>
        <v>3.3600000000000003</v>
      </c>
      <c r="H147" s="22">
        <f>799.16</f>
        <v>799.16</v>
      </c>
      <c r="I147" s="149">
        <f t="shared" ref="I147" si="28">H147*1.11</f>
        <v>887.06760000000008</v>
      </c>
      <c r="J147" s="149">
        <f t="shared" si="20"/>
        <v>2980.5471360000006</v>
      </c>
      <c r="K147" s="23">
        <f>G147*H147</f>
        <v>2685.1776</v>
      </c>
      <c r="M147" s="16"/>
      <c r="N147" s="137"/>
    </row>
    <row r="148" spans="2:14" ht="23.25" customHeight="1" thickBot="1">
      <c r="B148" s="44" t="s">
        <v>237</v>
      </c>
      <c r="C148" s="45" t="s">
        <v>216</v>
      </c>
      <c r="D148" s="56" t="s">
        <v>235</v>
      </c>
      <c r="E148" s="56" t="s">
        <v>453</v>
      </c>
      <c r="F148" s="58" t="s">
        <v>7</v>
      </c>
      <c r="G148" s="46">
        <v>7.32</v>
      </c>
      <c r="H148" s="47">
        <v>40</v>
      </c>
      <c r="I148" s="47">
        <f>H148</f>
        <v>40</v>
      </c>
      <c r="J148" s="47">
        <f t="shared" si="20"/>
        <v>292.8</v>
      </c>
      <c r="K148" s="48">
        <f>G148*H148</f>
        <v>292.8</v>
      </c>
      <c r="M148" s="16"/>
    </row>
    <row r="149" spans="2:14" ht="23.25" customHeight="1" thickBot="1">
      <c r="B149" s="105" t="s">
        <v>30</v>
      </c>
      <c r="C149" s="245" t="s">
        <v>31</v>
      </c>
      <c r="D149" s="245"/>
      <c r="E149" s="221"/>
      <c r="F149" s="101"/>
      <c r="G149" s="102"/>
      <c r="H149" s="103"/>
      <c r="I149" s="32"/>
      <c r="J149" s="33">
        <f>SUM(J150:J157)</f>
        <v>37059.886181280002</v>
      </c>
      <c r="K149" s="104">
        <f>SUM(K150:K157)</f>
        <v>33387.284847999996</v>
      </c>
    </row>
    <row r="150" spans="2:14" ht="23.25" customHeight="1">
      <c r="B150" s="109" t="s">
        <v>186</v>
      </c>
      <c r="C150" s="110" t="s">
        <v>184</v>
      </c>
      <c r="D150" s="132" t="s">
        <v>185</v>
      </c>
      <c r="E150" s="132" t="s">
        <v>460</v>
      </c>
      <c r="F150" s="110" t="s">
        <v>7</v>
      </c>
      <c r="G150" s="21">
        <v>421.61</v>
      </c>
      <c r="H150" s="22">
        <f>19.72*0.89</f>
        <v>17.550799999999999</v>
      </c>
      <c r="I150" s="149">
        <f t="shared" ref="I150:I165" si="29">H150*1.11</f>
        <v>19.481387999999999</v>
      </c>
      <c r="J150" s="149">
        <f t="shared" ref="J150:J157" si="30">I150*G150</f>
        <v>8213.5479946800006</v>
      </c>
      <c r="K150" s="23">
        <f>G150*H150</f>
        <v>7399.5927879999999</v>
      </c>
    </row>
    <row r="151" spans="2:14" ht="23.25" customHeight="1">
      <c r="B151" s="100" t="s">
        <v>187</v>
      </c>
      <c r="C151" s="112" t="s">
        <v>182</v>
      </c>
      <c r="D151" s="113" t="s">
        <v>183</v>
      </c>
      <c r="E151" s="113" t="s">
        <v>461</v>
      </c>
      <c r="F151" s="112" t="s">
        <v>7</v>
      </c>
      <c r="G151" s="40">
        <v>178.08</v>
      </c>
      <c r="H151" s="41">
        <f>24.99*0.89</f>
        <v>22.241099999999999</v>
      </c>
      <c r="I151" s="41">
        <f t="shared" si="29"/>
        <v>24.687621</v>
      </c>
      <c r="J151" s="41">
        <f t="shared" si="30"/>
        <v>4396.3715476800007</v>
      </c>
      <c r="K151" s="43">
        <f t="shared" ref="K151:K156" si="31">G151*H151</f>
        <v>3960.6950880000004</v>
      </c>
    </row>
    <row r="152" spans="2:14" ht="23.25" customHeight="1">
      <c r="B152" s="100" t="s">
        <v>188</v>
      </c>
      <c r="C152" s="114" t="s">
        <v>195</v>
      </c>
      <c r="D152" s="133" t="s">
        <v>196</v>
      </c>
      <c r="E152" s="133" t="s">
        <v>462</v>
      </c>
      <c r="F152" s="112" t="s">
        <v>7</v>
      </c>
      <c r="G152" s="40">
        <v>243.54</v>
      </c>
      <c r="H152" s="41">
        <f>33.32*0.89</f>
        <v>29.654800000000002</v>
      </c>
      <c r="I152" s="41">
        <f t="shared" si="29"/>
        <v>32.916828000000002</v>
      </c>
      <c r="J152" s="41">
        <f t="shared" si="30"/>
        <v>8016.5642911200002</v>
      </c>
      <c r="K152" s="43">
        <f t="shared" si="31"/>
        <v>7222.1299920000001</v>
      </c>
    </row>
    <row r="153" spans="2:14" ht="23.25" customHeight="1">
      <c r="B153" s="100" t="s">
        <v>197</v>
      </c>
      <c r="C153" s="114" t="s">
        <v>193</v>
      </c>
      <c r="D153" s="54" t="s">
        <v>194</v>
      </c>
      <c r="E153" s="54" t="s">
        <v>452</v>
      </c>
      <c r="F153" s="112" t="s">
        <v>7</v>
      </c>
      <c r="G153" s="40">
        <f>3*60</f>
        <v>180</v>
      </c>
      <c r="H153" s="41">
        <f>35.12*0.89</f>
        <v>31.256799999999998</v>
      </c>
      <c r="I153" s="41">
        <f t="shared" si="29"/>
        <v>34.695048</v>
      </c>
      <c r="J153" s="41">
        <f t="shared" si="30"/>
        <v>6245.1086400000004</v>
      </c>
      <c r="K153" s="43">
        <f t="shared" si="31"/>
        <v>5626.2240000000002</v>
      </c>
    </row>
    <row r="154" spans="2:14" ht="23.25" customHeight="1">
      <c r="B154" s="100" t="s">
        <v>210</v>
      </c>
      <c r="C154" s="116" t="s">
        <v>213</v>
      </c>
      <c r="D154" s="117" t="s">
        <v>227</v>
      </c>
      <c r="E154" s="117" t="s">
        <v>454</v>
      </c>
      <c r="F154" s="116" t="s">
        <v>208</v>
      </c>
      <c r="G154" s="40">
        <f>31.8*8*3</f>
        <v>763.2</v>
      </c>
      <c r="H154" s="41">
        <f>4*0.89</f>
        <v>3.56</v>
      </c>
      <c r="I154" s="41">
        <f t="shared" si="29"/>
        <v>3.9516000000000004</v>
      </c>
      <c r="J154" s="41">
        <f t="shared" si="30"/>
        <v>3015.8611200000005</v>
      </c>
      <c r="K154" s="43">
        <f t="shared" si="31"/>
        <v>2716.9920000000002</v>
      </c>
    </row>
    <row r="155" spans="2:14" ht="23.25" customHeight="1">
      <c r="B155" s="100" t="s">
        <v>211</v>
      </c>
      <c r="C155" s="116" t="s">
        <v>214</v>
      </c>
      <c r="D155" s="117" t="s">
        <v>209</v>
      </c>
      <c r="E155" s="117" t="s">
        <v>411</v>
      </c>
      <c r="F155" s="116" t="s">
        <v>7</v>
      </c>
      <c r="G155" s="40">
        <f>31.8*8</f>
        <v>254.4</v>
      </c>
      <c r="H155" s="41">
        <f>5.96*0.89</f>
        <v>5.3044000000000002</v>
      </c>
      <c r="I155" s="41">
        <f t="shared" si="29"/>
        <v>5.8878840000000006</v>
      </c>
      <c r="J155" s="41">
        <f t="shared" si="30"/>
        <v>1497.8776896000002</v>
      </c>
      <c r="K155" s="43">
        <f t="shared" si="31"/>
        <v>1349.4393600000001</v>
      </c>
    </row>
    <row r="156" spans="2:14" ht="23.25" customHeight="1">
      <c r="B156" s="100" t="s">
        <v>212</v>
      </c>
      <c r="C156" s="116" t="s">
        <v>215</v>
      </c>
      <c r="D156" s="117" t="s">
        <v>229</v>
      </c>
      <c r="E156" s="117" t="s">
        <v>411</v>
      </c>
      <c r="F156" s="116" t="s">
        <v>7</v>
      </c>
      <c r="G156" s="40">
        <f>35.8*3</f>
        <v>107.39999999999999</v>
      </c>
      <c r="H156" s="41">
        <f>2.61*0.89</f>
        <v>2.3228999999999997</v>
      </c>
      <c r="I156" s="41">
        <f t="shared" si="29"/>
        <v>2.5784189999999998</v>
      </c>
      <c r="J156" s="41">
        <f t="shared" si="30"/>
        <v>276.92220059999994</v>
      </c>
      <c r="K156" s="43">
        <f t="shared" si="31"/>
        <v>249.47945999999996</v>
      </c>
    </row>
    <row r="157" spans="2:14" ht="23.25" customHeight="1" thickBot="1">
      <c r="B157" s="107" t="s">
        <v>228</v>
      </c>
      <c r="C157" s="129" t="s">
        <v>233</v>
      </c>
      <c r="D157" s="216" t="s">
        <v>234</v>
      </c>
      <c r="E157" s="216" t="s">
        <v>455</v>
      </c>
      <c r="F157" s="130" t="s">
        <v>7</v>
      </c>
      <c r="G157" s="51">
        <f>39.8*8</f>
        <v>318.39999999999998</v>
      </c>
      <c r="H157" s="52">
        <f>17.16*0.89</f>
        <v>15.272400000000001</v>
      </c>
      <c r="I157" s="47">
        <f t="shared" si="29"/>
        <v>16.952364000000003</v>
      </c>
      <c r="J157" s="47">
        <f t="shared" si="30"/>
        <v>5397.6326976000009</v>
      </c>
      <c r="K157" s="53">
        <f>G157*H157</f>
        <v>4862.7321599999996</v>
      </c>
    </row>
    <row r="158" spans="2:14" ht="23.25" customHeight="1" thickBot="1">
      <c r="B158" s="29" t="s">
        <v>32</v>
      </c>
      <c r="C158" s="233" t="s">
        <v>33</v>
      </c>
      <c r="D158" s="233"/>
      <c r="E158" s="219"/>
      <c r="F158" s="30"/>
      <c r="G158" s="31"/>
      <c r="H158" s="32"/>
      <c r="I158" s="32"/>
      <c r="J158" s="33">
        <f>SUM(J159:J161)</f>
        <v>11584.100526</v>
      </c>
      <c r="K158" s="28">
        <f>SUM(K159:K161)</f>
        <v>10436.1266</v>
      </c>
    </row>
    <row r="159" spans="2:14" ht="23.25" customHeight="1">
      <c r="B159" s="162" t="s">
        <v>206</v>
      </c>
      <c r="C159" s="152" t="s">
        <v>357</v>
      </c>
      <c r="D159" s="153" t="s">
        <v>351</v>
      </c>
      <c r="E159" s="153" t="s">
        <v>458</v>
      </c>
      <c r="F159" s="154" t="s">
        <v>22</v>
      </c>
      <c r="G159" s="155">
        <v>10</v>
      </c>
      <c r="H159" s="155">
        <v>34</v>
      </c>
      <c r="I159" s="149">
        <f t="shared" si="29"/>
        <v>37.74</v>
      </c>
      <c r="J159" s="149">
        <f t="shared" ref="J159:J161" si="32">I159*G159</f>
        <v>377.40000000000003</v>
      </c>
      <c r="K159" s="43">
        <v>340</v>
      </c>
    </row>
    <row r="160" spans="2:14" ht="23.25" customHeight="1">
      <c r="B160" s="162" t="s">
        <v>352</v>
      </c>
      <c r="C160" s="152" t="s">
        <v>358</v>
      </c>
      <c r="D160" s="153" t="s">
        <v>350</v>
      </c>
      <c r="E160" s="153" t="s">
        <v>457</v>
      </c>
      <c r="F160" s="154" t="s">
        <v>17</v>
      </c>
      <c r="G160" s="155">
        <v>678</v>
      </c>
      <c r="H160" s="155">
        <v>9.58</v>
      </c>
      <c r="I160" s="41">
        <f t="shared" si="29"/>
        <v>10.633800000000001</v>
      </c>
      <c r="J160" s="41">
        <f t="shared" si="32"/>
        <v>7209.7164000000002</v>
      </c>
      <c r="K160" s="43">
        <v>6495.24</v>
      </c>
    </row>
    <row r="161" spans="2:14" ht="43.5" customHeight="1" thickBot="1">
      <c r="B161" s="162" t="s">
        <v>353</v>
      </c>
      <c r="C161" s="111" t="s">
        <v>207</v>
      </c>
      <c r="D161" s="56" t="s">
        <v>223</v>
      </c>
      <c r="E161" s="56" t="s">
        <v>456</v>
      </c>
      <c r="F161" s="111" t="s">
        <v>7</v>
      </c>
      <c r="G161" s="46">
        <v>89</v>
      </c>
      <c r="H161" s="192">
        <f>45.46*0.89</f>
        <v>40.459400000000002</v>
      </c>
      <c r="I161" s="47">
        <f t="shared" si="29"/>
        <v>44.909934000000007</v>
      </c>
      <c r="J161" s="47">
        <f t="shared" si="32"/>
        <v>3996.9841260000007</v>
      </c>
      <c r="K161" s="43">
        <f>G161*H161</f>
        <v>3600.8866000000003</v>
      </c>
    </row>
    <row r="162" spans="2:14" ht="23.25" customHeight="1" thickBot="1">
      <c r="B162" s="24" t="s">
        <v>34</v>
      </c>
      <c r="C162" s="234" t="s">
        <v>35</v>
      </c>
      <c r="D162" s="234"/>
      <c r="E162" s="220"/>
      <c r="F162" s="25"/>
      <c r="G162" s="26"/>
      <c r="H162" s="27"/>
      <c r="I162" s="32"/>
      <c r="J162" s="33">
        <f>SUM(J163:J165)</f>
        <v>6607.9020723000012</v>
      </c>
      <c r="K162" s="104">
        <f>SUM(K163:K165)</f>
        <v>5953.0649300000005</v>
      </c>
    </row>
    <row r="163" spans="2:14" ht="23.25" customHeight="1">
      <c r="B163" s="109" t="s">
        <v>224</v>
      </c>
      <c r="C163" s="110" t="s">
        <v>189</v>
      </c>
      <c r="D163" s="87" t="s">
        <v>190</v>
      </c>
      <c r="E163" s="87" t="s">
        <v>459</v>
      </c>
      <c r="F163" s="110" t="s">
        <v>22</v>
      </c>
      <c r="G163" s="21">
        <f>10.95*2</f>
        <v>21.9</v>
      </c>
      <c r="H163" s="22">
        <f>100.23*0.89</f>
        <v>89.204700000000003</v>
      </c>
      <c r="I163" s="149">
        <f t="shared" si="29"/>
        <v>99.017217000000016</v>
      </c>
      <c r="J163" s="149">
        <f t="shared" ref="J163:J165" si="33">I163*G163</f>
        <v>2168.4770523000002</v>
      </c>
      <c r="K163" s="23">
        <f>G163*H163</f>
        <v>1953.58293</v>
      </c>
    </row>
    <row r="164" spans="2:14" ht="23.25" customHeight="1">
      <c r="B164" s="100" t="s">
        <v>225</v>
      </c>
      <c r="C164" s="38" t="s">
        <v>202</v>
      </c>
      <c r="D164" s="120" t="s">
        <v>203</v>
      </c>
      <c r="E164" s="120" t="s">
        <v>463</v>
      </c>
      <c r="F164" s="116" t="s">
        <v>8</v>
      </c>
      <c r="G164" s="123">
        <v>4</v>
      </c>
      <c r="H164" s="41">
        <f>30.71*0.89</f>
        <v>27.331900000000001</v>
      </c>
      <c r="I164" s="41">
        <f t="shared" si="29"/>
        <v>30.338409000000002</v>
      </c>
      <c r="J164" s="41">
        <f t="shared" si="33"/>
        <v>121.35363600000001</v>
      </c>
      <c r="K164" s="43">
        <f t="shared" ref="K164:K165" si="34">G164*H164</f>
        <v>109.3276</v>
      </c>
    </row>
    <row r="165" spans="2:14" ht="23.25" customHeight="1" thickBot="1">
      <c r="B165" s="108" t="s">
        <v>226</v>
      </c>
      <c r="C165" s="45" t="s">
        <v>200</v>
      </c>
      <c r="D165" s="56" t="s">
        <v>201</v>
      </c>
      <c r="E165" s="56" t="s">
        <v>464</v>
      </c>
      <c r="F165" s="111" t="s">
        <v>22</v>
      </c>
      <c r="G165" s="46">
        <f>6*4+20</f>
        <v>44</v>
      </c>
      <c r="H165" s="47">
        <f>99.34*0.89</f>
        <v>88.412599999999998</v>
      </c>
      <c r="I165" s="47">
        <f t="shared" si="29"/>
        <v>98.137986000000012</v>
      </c>
      <c r="J165" s="47">
        <f t="shared" si="33"/>
        <v>4318.0713840000008</v>
      </c>
      <c r="K165" s="48">
        <f t="shared" si="34"/>
        <v>3890.1543999999999</v>
      </c>
      <c r="M165" s="13"/>
    </row>
    <row r="166" spans="2:14" ht="23.25" customHeight="1" thickBot="1">
      <c r="B166" s="29" t="s">
        <v>36</v>
      </c>
      <c r="C166" s="233" t="s">
        <v>37</v>
      </c>
      <c r="D166" s="233"/>
      <c r="E166" s="219"/>
      <c r="F166" s="30"/>
      <c r="G166" s="31"/>
      <c r="H166" s="32"/>
      <c r="I166" s="32"/>
      <c r="J166" s="33">
        <f>SUM(J167:J168)</f>
        <v>4514.4026784000007</v>
      </c>
      <c r="K166" s="33">
        <f>SUM(K167:K168)</f>
        <v>4067.0294400000002</v>
      </c>
      <c r="M166" s="13"/>
    </row>
    <row r="167" spans="2:14" ht="23.25" customHeight="1">
      <c r="B167" s="125" t="s">
        <v>231</v>
      </c>
      <c r="C167" s="126" t="s">
        <v>230</v>
      </c>
      <c r="D167" s="127" t="s">
        <v>232</v>
      </c>
      <c r="E167" s="127" t="s">
        <v>108</v>
      </c>
      <c r="F167" s="126" t="s">
        <v>22</v>
      </c>
      <c r="G167" s="70">
        <v>8.6</v>
      </c>
      <c r="H167" s="217">
        <f>531.36*0.89</f>
        <v>472.91040000000004</v>
      </c>
      <c r="I167" s="149">
        <f t="shared" ref="I167:I168" si="35">H167*1.11</f>
        <v>524.93054400000005</v>
      </c>
      <c r="J167" s="149">
        <f t="shared" ref="J167:J168" si="36">I167*G167</f>
        <v>4514.4026784000007</v>
      </c>
      <c r="K167" s="67">
        <f>G167*H167</f>
        <v>4067.0294400000002</v>
      </c>
      <c r="M167" s="13"/>
    </row>
    <row r="168" spans="2:14" ht="23.25" customHeight="1" thickBot="1">
      <c r="B168" s="108" t="s">
        <v>355</v>
      </c>
      <c r="C168" s="111" t="s">
        <v>335</v>
      </c>
      <c r="D168" s="139" t="s">
        <v>356</v>
      </c>
      <c r="E168" s="139"/>
      <c r="F168" s="111" t="s">
        <v>354</v>
      </c>
      <c r="G168" s="46">
        <v>0</v>
      </c>
      <c r="H168" s="47">
        <v>1494.43</v>
      </c>
      <c r="I168" s="41">
        <f t="shared" si="35"/>
        <v>1658.8173000000002</v>
      </c>
      <c r="J168" s="41">
        <f t="shared" si="36"/>
        <v>0</v>
      </c>
      <c r="K168" s="67">
        <v>0</v>
      </c>
      <c r="M168" s="13"/>
    </row>
    <row r="169" spans="2:14" ht="23.25" customHeight="1" thickBot="1">
      <c r="B169" s="246"/>
      <c r="C169" s="247"/>
      <c r="D169" s="247"/>
      <c r="E169" s="247"/>
      <c r="F169" s="247"/>
      <c r="G169" s="247"/>
      <c r="H169" s="34" t="s">
        <v>38</v>
      </c>
      <c r="I169" s="205" t="s">
        <v>377</v>
      </c>
      <c r="J169" s="204">
        <f>J12+J16+J18+J77+J81+J84+J146+J149+J158+J162+J166</f>
        <v>293937.67668215005</v>
      </c>
      <c r="K169" s="35">
        <f>K12+K16+K18+K77+K81+K84+K146+K149+K158+K162+K166</f>
        <v>268743.46956500009</v>
      </c>
      <c r="M169" s="13"/>
      <c r="N169" s="13"/>
    </row>
    <row r="170" spans="2:14" ht="23.25" customHeight="1" thickBot="1">
      <c r="B170" s="239"/>
      <c r="C170" s="240"/>
      <c r="D170" s="240"/>
      <c r="E170" s="240"/>
      <c r="F170" s="240"/>
      <c r="G170" s="240"/>
      <c r="H170" s="156" t="s">
        <v>336</v>
      </c>
      <c r="I170" s="206" t="s">
        <v>380</v>
      </c>
      <c r="J170" s="36">
        <f>J169*0.2392+4.05</f>
        <v>70313.942262370299</v>
      </c>
      <c r="K170" s="36">
        <f>K169*0.1728+0.01</f>
        <v>46438.881540832022</v>
      </c>
    </row>
    <row r="171" spans="2:14" ht="23.25" customHeight="1" thickBot="1">
      <c r="B171" s="241"/>
      <c r="C171" s="242"/>
      <c r="D171" s="242"/>
      <c r="E171" s="242"/>
      <c r="F171" s="242"/>
      <c r="G171" s="242"/>
      <c r="H171" s="37" t="s">
        <v>40</v>
      </c>
      <c r="I171" s="37" t="s">
        <v>376</v>
      </c>
      <c r="J171" s="35">
        <f>J169+J170</f>
        <v>364251.61894452036</v>
      </c>
      <c r="K171" s="35">
        <f>K169+K170-0.01</f>
        <v>315182.34110583214</v>
      </c>
    </row>
    <row r="173" spans="2:14" ht="23.25" customHeight="1">
      <c r="H173">
        <v>928485.09</v>
      </c>
    </row>
    <row r="174" spans="2:14" ht="23.25" customHeight="1">
      <c r="C174" s="14"/>
      <c r="D174" s="15"/>
      <c r="E174" s="15"/>
      <c r="F174" s="115"/>
      <c r="H174" s="193"/>
      <c r="I174" s="193"/>
      <c r="J174" s="193"/>
    </row>
    <row r="175" spans="2:14" ht="23.25" customHeight="1">
      <c r="H175" s="193">
        <f>G174-H174</f>
        <v>0</v>
      </c>
      <c r="I175" s="193"/>
      <c r="J175" s="193"/>
    </row>
    <row r="177" spans="8:10" ht="23.25" customHeight="1">
      <c r="H177" s="193"/>
      <c r="I177" s="193"/>
      <c r="J177" s="193"/>
    </row>
    <row r="178" spans="8:10" ht="23.25" customHeight="1">
      <c r="H178" s="193"/>
      <c r="I178" s="193"/>
      <c r="J178" s="193"/>
    </row>
  </sheetData>
  <mergeCells count="29">
    <mergeCell ref="C77:D77"/>
    <mergeCell ref="B9:B10"/>
    <mergeCell ref="C9:C10"/>
    <mergeCell ref="D9:D10"/>
    <mergeCell ref="F9:F10"/>
    <mergeCell ref="B171:G171"/>
    <mergeCell ref="C81:D81"/>
    <mergeCell ref="C84:D84"/>
    <mergeCell ref="C146:D146"/>
    <mergeCell ref="C149:D149"/>
    <mergeCell ref="C158:D158"/>
    <mergeCell ref="C162:D162"/>
    <mergeCell ref="C166:D166"/>
    <mergeCell ref="B169:G169"/>
    <mergeCell ref="B170:G170"/>
    <mergeCell ref="K9:K10"/>
    <mergeCell ref="C12:D12"/>
    <mergeCell ref="C16:D16"/>
    <mergeCell ref="C18:D18"/>
    <mergeCell ref="C2:K2"/>
    <mergeCell ref="C3:K3"/>
    <mergeCell ref="C4:K4"/>
    <mergeCell ref="B6:K6"/>
    <mergeCell ref="B7:K7"/>
    <mergeCell ref="I9:I10"/>
    <mergeCell ref="J9:J10"/>
    <mergeCell ref="G9:G10"/>
    <mergeCell ref="H9:H10"/>
    <mergeCell ref="E9:E10"/>
  </mergeCells>
  <pageMargins left="0.51181102362204722" right="0.51181102362204722" top="0.78740157480314965" bottom="0.59055118110236227" header="0.31496062992125984" footer="0.31496062992125984"/>
  <pageSetup paperSize="9" scale="80" orientation="landscape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1:AF173"/>
  <sheetViews>
    <sheetView tabSelected="1" topLeftCell="A81" zoomScale="75" zoomScaleNormal="75" workbookViewId="0">
      <selection activeCell="J140" sqref="J140"/>
    </sheetView>
  </sheetViews>
  <sheetFormatPr defaultRowHeight="23.25" customHeight="1"/>
  <cols>
    <col min="1" max="1" width="2.28515625" customWidth="1"/>
    <col min="2" max="2" width="11" style="1" customWidth="1"/>
    <col min="3" max="3" width="15.85546875" style="1" customWidth="1"/>
    <col min="4" max="4" width="80.5703125" style="2" customWidth="1"/>
    <col min="5" max="5" width="9.42578125" style="1" customWidth="1"/>
    <col min="6" max="6" width="13.85546875" style="3" customWidth="1"/>
    <col min="7" max="7" width="19.140625" customWidth="1"/>
    <col min="8" max="8" width="18.7109375" style="1" customWidth="1"/>
    <col min="9" max="9" width="3" customWidth="1"/>
    <col min="10" max="10" width="16.7109375" bestFit="1" customWidth="1"/>
    <col min="11" max="11" width="34.42578125" bestFit="1" customWidth="1"/>
    <col min="12" max="12" width="2.85546875" customWidth="1"/>
    <col min="13" max="13" width="44.140625" bestFit="1" customWidth="1"/>
    <col min="14" max="14" width="3.7109375" customWidth="1"/>
    <col min="15" max="15" width="41.42578125" bestFit="1" customWidth="1"/>
    <col min="19" max="19" width="18.85546875" customWidth="1"/>
  </cols>
  <sheetData>
    <row r="1" spans="2:23" ht="15.75" thickBot="1">
      <c r="B1" s="4"/>
      <c r="C1" s="5"/>
      <c r="D1" s="5"/>
      <c r="E1" s="5"/>
      <c r="F1" s="5"/>
      <c r="G1" s="5"/>
      <c r="H1" s="5"/>
    </row>
    <row r="2" spans="2:23" ht="15">
      <c r="B2" s="144"/>
      <c r="C2" s="258" t="s">
        <v>341</v>
      </c>
      <c r="D2" s="258"/>
      <c r="E2" s="258"/>
      <c r="F2" s="258"/>
      <c r="G2" s="258"/>
      <c r="H2" s="259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2:23" ht="15.75">
      <c r="B3" s="145"/>
      <c r="C3" s="260" t="s">
        <v>342</v>
      </c>
      <c r="D3" s="260"/>
      <c r="E3" s="260"/>
      <c r="F3" s="260"/>
      <c r="G3" s="260"/>
      <c r="H3" s="261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</row>
    <row r="4" spans="2:23" ht="15.75">
      <c r="B4" s="145"/>
      <c r="C4" s="262" t="s">
        <v>343</v>
      </c>
      <c r="D4" s="262"/>
      <c r="E4" s="262"/>
      <c r="F4" s="262"/>
      <c r="G4" s="262"/>
      <c r="H4" s="263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</row>
    <row r="5" spans="2:23" ht="15.75" thickBot="1">
      <c r="B5" s="146"/>
      <c r="C5" s="147"/>
      <c r="D5" s="147"/>
      <c r="E5" s="147"/>
      <c r="F5" s="147"/>
      <c r="G5" s="147"/>
      <c r="H5" s="148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</row>
    <row r="6" spans="2:23" ht="16.5" thickBot="1">
      <c r="B6" s="252" t="s">
        <v>345</v>
      </c>
      <c r="C6" s="253"/>
      <c r="D6" s="253"/>
      <c r="E6" s="253"/>
      <c r="F6" s="253"/>
      <c r="G6" s="253"/>
      <c r="H6" s="254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</row>
    <row r="7" spans="2:23" ht="15.75" thickBot="1">
      <c r="B7" s="255" t="s">
        <v>344</v>
      </c>
      <c r="C7" s="256"/>
      <c r="D7" s="256"/>
      <c r="E7" s="256"/>
      <c r="F7" s="256"/>
      <c r="G7" s="256"/>
      <c r="H7" s="257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</row>
    <row r="8" spans="2:23" ht="15.75" thickBot="1">
      <c r="B8" s="10"/>
      <c r="C8" s="6"/>
      <c r="D8" s="7"/>
      <c r="E8" s="8"/>
      <c r="F8" s="11"/>
      <c r="G8" s="12"/>
      <c r="H8" s="9"/>
    </row>
    <row r="9" spans="2:23" ht="15">
      <c r="B9" s="248" t="s">
        <v>0</v>
      </c>
      <c r="C9" s="250" t="s">
        <v>42</v>
      </c>
      <c r="D9" s="243" t="s">
        <v>1</v>
      </c>
      <c r="E9" s="243" t="s">
        <v>2</v>
      </c>
      <c r="F9" s="237" t="s">
        <v>41</v>
      </c>
      <c r="G9" s="231" t="s">
        <v>381</v>
      </c>
      <c r="H9" s="235" t="s">
        <v>382</v>
      </c>
    </row>
    <row r="10" spans="2:23" ht="15.75" thickBot="1">
      <c r="B10" s="249"/>
      <c r="C10" s="251"/>
      <c r="D10" s="244"/>
      <c r="E10" s="244"/>
      <c r="F10" s="238"/>
      <c r="G10" s="232"/>
      <c r="H10" s="236"/>
      <c r="J10" s="16"/>
      <c r="K10" s="13"/>
    </row>
    <row r="11" spans="2:23" ht="15.75" thickBot="1">
      <c r="J11" s="16"/>
    </row>
    <row r="12" spans="2:23" ht="15.75" thickBot="1">
      <c r="B12" s="24" t="s">
        <v>3</v>
      </c>
      <c r="C12" s="234" t="s">
        <v>39</v>
      </c>
      <c r="D12" s="234"/>
      <c r="E12" s="25"/>
      <c r="F12" s="26"/>
      <c r="G12" s="27"/>
      <c r="H12" s="28">
        <f>SUM(H13:H15)</f>
        <v>0</v>
      </c>
      <c r="J12" s="16"/>
    </row>
    <row r="13" spans="2:23" ht="15.75" hidden="1" thickBot="1">
      <c r="B13" s="18" t="s">
        <v>144</v>
      </c>
      <c r="C13" s="19" t="s">
        <v>4</v>
      </c>
      <c r="D13" s="20" t="s">
        <v>6</v>
      </c>
      <c r="E13" s="19" t="s">
        <v>5</v>
      </c>
      <c r="F13" s="21"/>
      <c r="G13" s="22">
        <v>373.47070000000002</v>
      </c>
      <c r="H13" s="23">
        <f>F13*G13</f>
        <v>0</v>
      </c>
      <c r="J13" s="136"/>
      <c r="K13" s="137"/>
      <c r="M13" s="137"/>
      <c r="O13" s="137"/>
    </row>
    <row r="14" spans="2:23" hidden="1" thickBot="1">
      <c r="B14" s="18" t="s">
        <v>347</v>
      </c>
      <c r="C14" s="157" t="s">
        <v>349</v>
      </c>
      <c r="D14" s="158" t="s">
        <v>348</v>
      </c>
      <c r="E14" s="159" t="s">
        <v>7</v>
      </c>
      <c r="F14" s="160"/>
      <c r="G14" s="161">
        <v>278</v>
      </c>
      <c r="H14" s="151"/>
      <c r="J14" s="136"/>
      <c r="K14" s="137"/>
    </row>
    <row r="15" spans="2:23" hidden="1" thickBot="1">
      <c r="B15" s="18" t="s">
        <v>145</v>
      </c>
      <c r="C15" s="50" t="s">
        <v>9</v>
      </c>
      <c r="D15" s="60" t="s">
        <v>10</v>
      </c>
      <c r="E15" s="50" t="s">
        <v>7</v>
      </c>
      <c r="F15" s="51"/>
      <c r="G15" s="52">
        <v>28.82</v>
      </c>
      <c r="H15" s="53">
        <f t="shared" ref="H15" si="0">F15*G15</f>
        <v>0</v>
      </c>
      <c r="J15" s="16"/>
    </row>
    <row r="16" spans="2:23" ht="15.75" thickBot="1">
      <c r="B16" s="29" t="s">
        <v>11</v>
      </c>
      <c r="C16" s="233" t="s">
        <v>12</v>
      </c>
      <c r="D16" s="233"/>
      <c r="E16" s="30"/>
      <c r="F16" s="31"/>
      <c r="G16" s="32"/>
      <c r="H16" s="33">
        <f>H17</f>
        <v>0</v>
      </c>
      <c r="J16" s="16" t="s">
        <v>47</v>
      </c>
    </row>
    <row r="17" spans="2:32" ht="23.25" hidden="1" customHeight="1" thickBot="1">
      <c r="B17" s="18" t="s">
        <v>89</v>
      </c>
      <c r="C17" s="19" t="s">
        <v>90</v>
      </c>
      <c r="D17" s="20" t="s">
        <v>14</v>
      </c>
      <c r="E17" s="19" t="s">
        <v>13</v>
      </c>
      <c r="F17" s="21"/>
      <c r="G17" s="22">
        <v>57.031199999999998</v>
      </c>
      <c r="H17" s="23">
        <f t="shared" ref="H17" si="1">F17*G17</f>
        <v>0</v>
      </c>
      <c r="J17" s="13"/>
    </row>
    <row r="18" spans="2:32" ht="15.75" thickBot="1">
      <c r="B18" s="29" t="s">
        <v>15</v>
      </c>
      <c r="C18" s="233" t="s">
        <v>107</v>
      </c>
      <c r="D18" s="233"/>
      <c r="E18" s="30"/>
      <c r="F18" s="31"/>
      <c r="G18" s="32"/>
      <c r="H18" s="33"/>
      <c r="J18" s="16" t="s">
        <v>47</v>
      </c>
    </row>
    <row r="19" spans="2:32" ht="33" hidden="1" customHeight="1" thickBot="1">
      <c r="B19" s="69" t="s">
        <v>81</v>
      </c>
      <c r="C19" s="78" t="s">
        <v>79</v>
      </c>
      <c r="D19" s="78"/>
      <c r="E19" s="78"/>
      <c r="F19" s="78"/>
      <c r="G19" s="78"/>
      <c r="H19" s="79"/>
      <c r="J19" s="55"/>
      <c r="K19" s="16"/>
      <c r="AF19" s="17"/>
    </row>
    <row r="20" spans="2:32" ht="23.25" hidden="1" customHeight="1">
      <c r="B20" s="18" t="s">
        <v>80</v>
      </c>
      <c r="C20" s="19" t="s">
        <v>88</v>
      </c>
      <c r="D20" s="20" t="s">
        <v>87</v>
      </c>
      <c r="E20" s="19" t="s">
        <v>13</v>
      </c>
      <c r="F20" s="21"/>
      <c r="G20" s="22">
        <f>93.17*0.89</f>
        <v>82.921300000000002</v>
      </c>
      <c r="H20" s="23">
        <f>F20*G20</f>
        <v>0</v>
      </c>
      <c r="J20" s="55"/>
      <c r="K20" s="16"/>
      <c r="AF20" s="17"/>
    </row>
    <row r="21" spans="2:32" ht="23.25" hidden="1" customHeight="1">
      <c r="B21" s="42" t="s">
        <v>82</v>
      </c>
      <c r="C21" s="38" t="s">
        <v>92</v>
      </c>
      <c r="D21" s="54" t="s">
        <v>16</v>
      </c>
      <c r="E21" s="38" t="s">
        <v>7</v>
      </c>
      <c r="F21" s="40"/>
      <c r="G21" s="41">
        <v>45.29</v>
      </c>
      <c r="H21" s="43">
        <f>F21*G21</f>
        <v>0</v>
      </c>
      <c r="J21" s="55"/>
      <c r="K21" s="16"/>
      <c r="AF21" s="17"/>
    </row>
    <row r="22" spans="2:32" ht="23.25" hidden="1" customHeight="1">
      <c r="B22" s="42" t="s">
        <v>83</v>
      </c>
      <c r="C22" s="38" t="s">
        <v>55</v>
      </c>
      <c r="D22" s="54" t="s">
        <v>54</v>
      </c>
      <c r="E22" s="38" t="s">
        <v>13</v>
      </c>
      <c r="F22" s="40"/>
      <c r="G22" s="41">
        <f>427.21*0.89</f>
        <v>380.21690000000001</v>
      </c>
      <c r="H22" s="43">
        <f>F22*G22</f>
        <v>0</v>
      </c>
      <c r="J22" s="55"/>
      <c r="K22" s="16"/>
      <c r="AF22" s="17"/>
    </row>
    <row r="23" spans="2:32" ht="23.25" hidden="1" customHeight="1">
      <c r="B23" s="42" t="s">
        <v>84</v>
      </c>
      <c r="C23" s="38" t="s">
        <v>51</v>
      </c>
      <c r="D23" s="39" t="s">
        <v>50</v>
      </c>
      <c r="E23" s="38" t="s">
        <v>17</v>
      </c>
      <c r="F23" s="40"/>
      <c r="G23" s="41">
        <f>3.69*0.89</f>
        <v>3.2841</v>
      </c>
      <c r="H23" s="43">
        <f t="shared" ref="H23:H28" si="2">F23*G23</f>
        <v>0</v>
      </c>
      <c r="J23" s="88"/>
      <c r="K23" s="89"/>
      <c r="L23" s="88"/>
      <c r="M23" s="74"/>
      <c r="N23" s="75"/>
      <c r="O23" s="75"/>
      <c r="AF23" s="17"/>
    </row>
    <row r="24" spans="2:32" ht="23.25" hidden="1" customHeight="1">
      <c r="B24" s="42" t="s">
        <v>85</v>
      </c>
      <c r="C24" s="38" t="s">
        <v>53</v>
      </c>
      <c r="D24" s="54" t="s">
        <v>153</v>
      </c>
      <c r="E24" s="38" t="s">
        <v>17</v>
      </c>
      <c r="F24" s="40"/>
      <c r="G24" s="41">
        <f>4.25*0.89</f>
        <v>3.7825000000000002</v>
      </c>
      <c r="H24" s="43">
        <f t="shared" si="2"/>
        <v>0</v>
      </c>
      <c r="J24" s="88"/>
      <c r="K24" s="90"/>
      <c r="L24" s="88"/>
      <c r="M24" s="74"/>
      <c r="N24" s="75"/>
      <c r="O24" s="75"/>
      <c r="AF24" s="17"/>
    </row>
    <row r="25" spans="2:32" ht="23.25" hidden="1" customHeight="1">
      <c r="B25" s="42" t="s">
        <v>86</v>
      </c>
      <c r="C25" s="38" t="s">
        <v>48</v>
      </c>
      <c r="D25" s="39" t="s">
        <v>49</v>
      </c>
      <c r="E25" s="38" t="s">
        <v>17</v>
      </c>
      <c r="F25" s="40"/>
      <c r="G25" s="41">
        <f>3.71*0.89</f>
        <v>3.3018999999999998</v>
      </c>
      <c r="H25" s="43">
        <f t="shared" si="2"/>
        <v>0</v>
      </c>
      <c r="J25" s="88"/>
      <c r="K25" s="89"/>
      <c r="L25" s="88"/>
      <c r="M25" s="74"/>
      <c r="N25" s="75"/>
      <c r="O25" s="75"/>
      <c r="AF25" s="17"/>
    </row>
    <row r="26" spans="2:32" ht="23.25" hidden="1" customHeight="1">
      <c r="B26" s="42" t="s">
        <v>91</v>
      </c>
      <c r="C26" s="38" t="s">
        <v>52</v>
      </c>
      <c r="D26" s="54" t="s">
        <v>152</v>
      </c>
      <c r="E26" s="38" t="s">
        <v>17</v>
      </c>
      <c r="F26" s="40"/>
      <c r="G26" s="41">
        <f>3.72*0.89</f>
        <v>3.3108000000000004</v>
      </c>
      <c r="H26" s="43">
        <f t="shared" si="2"/>
        <v>0</v>
      </c>
      <c r="J26" s="88"/>
      <c r="K26" s="90"/>
      <c r="L26" s="88"/>
      <c r="M26" s="74"/>
      <c r="N26" s="75"/>
      <c r="O26" s="75"/>
      <c r="AF26" s="17"/>
    </row>
    <row r="27" spans="2:32" ht="23.25" hidden="1" customHeight="1">
      <c r="B27" s="42" t="s">
        <v>93</v>
      </c>
      <c r="C27" s="38" t="s">
        <v>112</v>
      </c>
      <c r="D27" s="39" t="s">
        <v>113</v>
      </c>
      <c r="E27" s="38" t="s">
        <v>7</v>
      </c>
      <c r="F27" s="40"/>
      <c r="G27" s="41">
        <f>60.42*0.89</f>
        <v>53.773800000000001</v>
      </c>
      <c r="H27" s="43">
        <f t="shared" si="2"/>
        <v>0</v>
      </c>
      <c r="J27" s="55"/>
      <c r="K27" s="16"/>
      <c r="AF27" s="17"/>
    </row>
    <row r="28" spans="2:32" ht="23.25" hidden="1" customHeight="1" thickBot="1">
      <c r="B28" s="44" t="s">
        <v>94</v>
      </c>
      <c r="C28" s="45" t="s">
        <v>110</v>
      </c>
      <c r="D28" s="77" t="s">
        <v>111</v>
      </c>
      <c r="E28" s="45" t="s">
        <v>13</v>
      </c>
      <c r="F28" s="46"/>
      <c r="G28" s="47">
        <f>2279.84*0.89</f>
        <v>2029.0576000000001</v>
      </c>
      <c r="H28" s="48">
        <f t="shared" si="2"/>
        <v>0</v>
      </c>
      <c r="J28" s="55"/>
      <c r="K28" s="16"/>
      <c r="AF28" s="17"/>
    </row>
    <row r="29" spans="2:32" ht="23.25" hidden="1" customHeight="1" thickBot="1">
      <c r="B29" s="66" t="s">
        <v>95</v>
      </c>
      <c r="C29" s="72" t="s">
        <v>96</v>
      </c>
      <c r="D29" s="72"/>
      <c r="E29" s="72"/>
      <c r="F29" s="72"/>
      <c r="G29" s="72"/>
      <c r="H29" s="81">
        <f>SUM(H30:H34)</f>
        <v>0</v>
      </c>
      <c r="J29" s="55"/>
      <c r="K29" s="16"/>
      <c r="AF29" s="17"/>
    </row>
    <row r="30" spans="2:32" ht="23.25" hidden="1" customHeight="1">
      <c r="B30" s="18" t="s">
        <v>118</v>
      </c>
      <c r="C30" s="38" t="s">
        <v>92</v>
      </c>
      <c r="D30" s="54" t="s">
        <v>16</v>
      </c>
      <c r="E30" s="38" t="s">
        <v>7</v>
      </c>
      <c r="F30" s="40"/>
      <c r="G30" s="41">
        <v>45.29</v>
      </c>
      <c r="H30" s="43">
        <f>F30*G30</f>
        <v>0</v>
      </c>
      <c r="J30" s="55"/>
      <c r="K30" s="16"/>
      <c r="AF30" s="17"/>
    </row>
    <row r="31" spans="2:32" ht="23.25" hidden="1" customHeight="1">
      <c r="B31" s="68" t="s">
        <v>119</v>
      </c>
      <c r="C31" s="38" t="s">
        <v>55</v>
      </c>
      <c r="D31" s="54" t="s">
        <v>54</v>
      </c>
      <c r="E31" s="38" t="s">
        <v>13</v>
      </c>
      <c r="F31" s="40"/>
      <c r="G31" s="41">
        <f>427.21*0.89</f>
        <v>380.21690000000001</v>
      </c>
      <c r="H31" s="43">
        <f>F31*G31</f>
        <v>0</v>
      </c>
      <c r="J31" s="55"/>
      <c r="K31" s="16"/>
      <c r="AF31" s="17"/>
    </row>
    <row r="32" spans="2:32" ht="23.25" hidden="1" customHeight="1">
      <c r="B32" s="68" t="s">
        <v>120</v>
      </c>
      <c r="C32" s="80" t="s">
        <v>117</v>
      </c>
      <c r="D32" s="76" t="s">
        <v>116</v>
      </c>
      <c r="E32" s="38" t="s">
        <v>17</v>
      </c>
      <c r="F32" s="40"/>
      <c r="G32" s="41">
        <f>3.55*0.89</f>
        <v>3.1595</v>
      </c>
      <c r="H32" s="43">
        <f>F32*G32</f>
        <v>0</v>
      </c>
      <c r="J32" s="55"/>
      <c r="K32" s="16"/>
      <c r="AF32" s="17"/>
    </row>
    <row r="33" spans="2:32" ht="23.25" hidden="1" customHeight="1">
      <c r="B33" s="68" t="s">
        <v>217</v>
      </c>
      <c r="C33" s="119" t="s">
        <v>18</v>
      </c>
      <c r="D33" s="59" t="s">
        <v>19</v>
      </c>
      <c r="E33" s="50" t="s">
        <v>8</v>
      </c>
      <c r="F33" s="51"/>
      <c r="G33" s="52">
        <v>40.57</v>
      </c>
      <c r="H33" s="43">
        <f t="shared" ref="H33:H34" si="3">F33*G33</f>
        <v>0</v>
      </c>
      <c r="J33" s="55"/>
      <c r="K33" s="16"/>
      <c r="AF33" s="17"/>
    </row>
    <row r="34" spans="2:32" ht="23.25" hidden="1" customHeight="1" thickBot="1">
      <c r="B34" s="68" t="s">
        <v>218</v>
      </c>
      <c r="C34" s="119" t="s">
        <v>20</v>
      </c>
      <c r="D34" s="121" t="s">
        <v>21</v>
      </c>
      <c r="E34" s="50" t="s">
        <v>8</v>
      </c>
      <c r="F34" s="51"/>
      <c r="G34" s="52">
        <v>31.03</v>
      </c>
      <c r="H34" s="53">
        <f t="shared" si="3"/>
        <v>0</v>
      </c>
      <c r="J34" s="55"/>
      <c r="K34" s="16"/>
      <c r="AF34" s="17"/>
    </row>
    <row r="35" spans="2:32" ht="23.25" hidden="1" customHeight="1" thickBot="1">
      <c r="B35" s="69" t="s">
        <v>97</v>
      </c>
      <c r="C35" s="78" t="s">
        <v>154</v>
      </c>
      <c r="D35" s="78"/>
      <c r="E35" s="78"/>
      <c r="F35" s="78"/>
      <c r="G35" s="78"/>
      <c r="H35" s="79">
        <f>SUM(H36:H41)</f>
        <v>0</v>
      </c>
      <c r="J35" s="55"/>
      <c r="K35" s="16"/>
      <c r="AF35" s="17"/>
    </row>
    <row r="36" spans="2:32" ht="23.25" hidden="1" customHeight="1">
      <c r="B36" s="18" t="s">
        <v>121</v>
      </c>
      <c r="C36" s="19" t="s">
        <v>112</v>
      </c>
      <c r="D36" s="20" t="s">
        <v>113</v>
      </c>
      <c r="E36" s="19" t="s">
        <v>7</v>
      </c>
      <c r="F36" s="21"/>
      <c r="G36" s="22">
        <f>60.42*0.89</f>
        <v>53.773800000000001</v>
      </c>
      <c r="H36" s="23">
        <f t="shared" ref="H36:H41" si="4">F36*G36</f>
        <v>0</v>
      </c>
      <c r="J36" s="55"/>
      <c r="K36" s="16"/>
      <c r="AF36" s="17"/>
    </row>
    <row r="37" spans="2:32" ht="23.25" hidden="1" customHeight="1">
      <c r="B37" s="42" t="s">
        <v>122</v>
      </c>
      <c r="C37" s="38" t="s">
        <v>110</v>
      </c>
      <c r="D37" s="76" t="s">
        <v>111</v>
      </c>
      <c r="E37" s="38" t="s">
        <v>13</v>
      </c>
      <c r="F37" s="40"/>
      <c r="G37" s="41">
        <f>2279.84*0.89</f>
        <v>2029.0576000000001</v>
      </c>
      <c r="H37" s="43">
        <f t="shared" si="4"/>
        <v>0</v>
      </c>
      <c r="J37" s="55"/>
      <c r="K37" s="16"/>
      <c r="AF37" s="17"/>
    </row>
    <row r="38" spans="2:32" ht="23.25" hidden="1" customHeight="1">
      <c r="B38" s="42" t="s">
        <v>123</v>
      </c>
      <c r="C38" s="38" t="s">
        <v>51</v>
      </c>
      <c r="D38" s="39" t="s">
        <v>50</v>
      </c>
      <c r="E38" s="38" t="s">
        <v>17</v>
      </c>
      <c r="F38" s="40"/>
      <c r="G38" s="41">
        <f>3.69*0.89</f>
        <v>3.2841</v>
      </c>
      <c r="H38" s="43">
        <f t="shared" si="4"/>
        <v>0</v>
      </c>
      <c r="J38" s="55"/>
      <c r="K38" s="16"/>
      <c r="AF38" s="17"/>
    </row>
    <row r="39" spans="2:32" ht="23.25" hidden="1" customHeight="1">
      <c r="B39" s="42" t="s">
        <v>128</v>
      </c>
      <c r="C39" s="38" t="s">
        <v>53</v>
      </c>
      <c r="D39" s="54" t="s">
        <v>153</v>
      </c>
      <c r="E39" s="38" t="s">
        <v>17</v>
      </c>
      <c r="F39" s="40"/>
      <c r="G39" s="41">
        <f>4.25*0.89</f>
        <v>3.7825000000000002</v>
      </c>
      <c r="H39" s="43">
        <f t="shared" si="4"/>
        <v>0</v>
      </c>
      <c r="J39" s="55"/>
      <c r="K39" s="16"/>
      <c r="AF39" s="17"/>
    </row>
    <row r="40" spans="2:32" ht="23.25" hidden="1" customHeight="1">
      <c r="B40" s="42" t="s">
        <v>130</v>
      </c>
      <c r="C40" s="38" t="s">
        <v>48</v>
      </c>
      <c r="D40" s="39" t="s">
        <v>49</v>
      </c>
      <c r="E40" s="38" t="s">
        <v>17</v>
      </c>
      <c r="F40" s="40"/>
      <c r="G40" s="41">
        <f>3.71*0.89</f>
        <v>3.3018999999999998</v>
      </c>
      <c r="H40" s="43">
        <f t="shared" si="4"/>
        <v>0</v>
      </c>
      <c r="J40" s="55"/>
      <c r="K40" s="16"/>
      <c r="AF40" s="17"/>
    </row>
    <row r="41" spans="2:32" ht="23.25" hidden="1" customHeight="1" thickBot="1">
      <c r="B41" s="42" t="s">
        <v>129</v>
      </c>
      <c r="C41" s="38" t="s">
        <v>52</v>
      </c>
      <c r="D41" s="54" t="s">
        <v>152</v>
      </c>
      <c r="E41" s="38" t="s">
        <v>17</v>
      </c>
      <c r="F41" s="40"/>
      <c r="G41" s="41">
        <f>3.72*0.89</f>
        <v>3.3108000000000004</v>
      </c>
      <c r="H41" s="43">
        <f t="shared" si="4"/>
        <v>0</v>
      </c>
      <c r="J41" s="55"/>
      <c r="K41" s="16"/>
      <c r="AF41" s="17"/>
    </row>
    <row r="42" spans="2:32" ht="23.25" hidden="1" customHeight="1" thickBot="1">
      <c r="B42" s="69" t="s">
        <v>98</v>
      </c>
      <c r="C42" s="78" t="s">
        <v>99</v>
      </c>
      <c r="D42" s="78"/>
      <c r="E42" s="78"/>
      <c r="F42" s="78"/>
      <c r="G42" s="78"/>
      <c r="H42" s="79">
        <f>SUM(H43:H47)</f>
        <v>0</v>
      </c>
      <c r="J42" s="55"/>
      <c r="K42" s="16"/>
      <c r="AF42" s="17"/>
    </row>
    <row r="43" spans="2:32" ht="23.25" hidden="1" customHeight="1">
      <c r="B43" s="18" t="s">
        <v>125</v>
      </c>
      <c r="C43" s="19" t="s">
        <v>92</v>
      </c>
      <c r="D43" s="87" t="s">
        <v>16</v>
      </c>
      <c r="E43" s="19" t="s">
        <v>7</v>
      </c>
      <c r="F43" s="21"/>
      <c r="G43" s="22">
        <v>45.29</v>
      </c>
      <c r="H43" s="23">
        <f>F43*G43</f>
        <v>0</v>
      </c>
      <c r="J43" s="55"/>
      <c r="K43" s="16"/>
      <c r="AF43" s="17"/>
    </row>
    <row r="44" spans="2:32" ht="23.25" hidden="1" customHeight="1">
      <c r="B44" s="42" t="s">
        <v>126</v>
      </c>
      <c r="C44" s="38" t="s">
        <v>55</v>
      </c>
      <c r="D44" s="54" t="s">
        <v>54</v>
      </c>
      <c r="E44" s="38" t="s">
        <v>13</v>
      </c>
      <c r="F44" s="40"/>
      <c r="G44" s="41">
        <f>427.21*0.89</f>
        <v>380.21690000000001</v>
      </c>
      <c r="H44" s="43">
        <f>F44*G44</f>
        <v>0</v>
      </c>
      <c r="J44" s="55"/>
      <c r="K44" s="16"/>
      <c r="AF44" s="17"/>
    </row>
    <row r="45" spans="2:32" ht="23.25" hidden="1" customHeight="1">
      <c r="B45" s="42" t="s">
        <v>127</v>
      </c>
      <c r="C45" s="80" t="s">
        <v>117</v>
      </c>
      <c r="D45" s="76" t="s">
        <v>116</v>
      </c>
      <c r="E45" s="38" t="s">
        <v>17</v>
      </c>
      <c r="F45" s="40"/>
      <c r="G45" s="41">
        <f>3.55*0.89</f>
        <v>3.1595</v>
      </c>
      <c r="H45" s="43">
        <f>F45*G45</f>
        <v>0</v>
      </c>
      <c r="J45" s="55"/>
      <c r="K45" s="16"/>
      <c r="AF45" s="17"/>
    </row>
    <row r="46" spans="2:32" ht="23.25" hidden="1" customHeight="1">
      <c r="B46" s="42" t="s">
        <v>219</v>
      </c>
      <c r="C46" s="38" t="s">
        <v>18</v>
      </c>
      <c r="D46" s="59" t="s">
        <v>19</v>
      </c>
      <c r="E46" s="38" t="s">
        <v>8</v>
      </c>
      <c r="F46" s="40"/>
      <c r="G46" s="41">
        <v>40.57</v>
      </c>
      <c r="H46" s="43">
        <f t="shared" ref="H46:H47" si="5">F46*G46</f>
        <v>0</v>
      </c>
      <c r="J46" s="55"/>
      <c r="K46" s="16"/>
      <c r="AF46" s="17"/>
    </row>
    <row r="47" spans="2:32" ht="23.25" hidden="1" customHeight="1" thickBot="1">
      <c r="B47" s="49" t="s">
        <v>220</v>
      </c>
      <c r="C47" s="50" t="s">
        <v>20</v>
      </c>
      <c r="D47" s="121" t="s">
        <v>21</v>
      </c>
      <c r="E47" s="50" t="s">
        <v>8</v>
      </c>
      <c r="F47" s="51"/>
      <c r="G47" s="52">
        <v>31.03</v>
      </c>
      <c r="H47" s="53">
        <f t="shared" si="5"/>
        <v>0</v>
      </c>
      <c r="J47" s="55"/>
      <c r="K47" s="16"/>
      <c r="AF47" s="17"/>
    </row>
    <row r="48" spans="2:32" ht="23.25" hidden="1" customHeight="1" thickBot="1">
      <c r="B48" s="66" t="s">
        <v>100</v>
      </c>
      <c r="C48" s="72" t="s">
        <v>101</v>
      </c>
      <c r="D48" s="72"/>
      <c r="E48" s="72"/>
      <c r="F48" s="72"/>
      <c r="G48" s="72"/>
      <c r="H48" s="81">
        <f>SUM(H49:H54)</f>
        <v>0</v>
      </c>
      <c r="J48" s="55"/>
      <c r="K48" s="16"/>
      <c r="AF48" s="17"/>
    </row>
    <row r="49" spans="2:32" ht="23.25" hidden="1" customHeight="1">
      <c r="B49" s="18" t="s">
        <v>124</v>
      </c>
      <c r="C49" s="19" t="s">
        <v>44</v>
      </c>
      <c r="D49" s="82" t="s">
        <v>45</v>
      </c>
      <c r="E49" s="19" t="s">
        <v>7</v>
      </c>
      <c r="F49" s="21"/>
      <c r="G49" s="22">
        <f>62.91*0.89</f>
        <v>55.989899999999999</v>
      </c>
      <c r="H49" s="23">
        <f t="shared" ref="H49:H54" si="6">F49*G49</f>
        <v>0</v>
      </c>
      <c r="J49" s="55"/>
      <c r="K49" s="16"/>
      <c r="AF49" s="17"/>
    </row>
    <row r="50" spans="2:32" ht="23.25" hidden="1" customHeight="1">
      <c r="B50" s="42" t="s">
        <v>131</v>
      </c>
      <c r="C50" s="38" t="s">
        <v>110</v>
      </c>
      <c r="D50" s="76" t="s">
        <v>111</v>
      </c>
      <c r="E50" s="38" t="s">
        <v>13</v>
      </c>
      <c r="F50" s="40"/>
      <c r="G50" s="41">
        <f>2279.84*0.89</f>
        <v>2029.0576000000001</v>
      </c>
      <c r="H50" s="43">
        <f t="shared" si="6"/>
        <v>0</v>
      </c>
      <c r="J50" s="55"/>
      <c r="K50" s="16"/>
      <c r="AF50" s="17"/>
    </row>
    <row r="51" spans="2:32" ht="23.25" hidden="1" customHeight="1">
      <c r="B51" s="42" t="s">
        <v>132</v>
      </c>
      <c r="C51" s="38" t="s">
        <v>51</v>
      </c>
      <c r="D51" s="39" t="s">
        <v>50</v>
      </c>
      <c r="E51" s="38" t="s">
        <v>17</v>
      </c>
      <c r="F51" s="40"/>
      <c r="G51" s="41">
        <f>3.69*0.89</f>
        <v>3.2841</v>
      </c>
      <c r="H51" s="43">
        <f t="shared" si="6"/>
        <v>0</v>
      </c>
      <c r="J51" s="55"/>
      <c r="K51" s="16"/>
      <c r="AF51" s="17"/>
    </row>
    <row r="52" spans="2:32" ht="23.25" hidden="1" customHeight="1">
      <c r="B52" s="42" t="s">
        <v>133</v>
      </c>
      <c r="C52" s="38" t="s">
        <v>53</v>
      </c>
      <c r="D52" s="54" t="s">
        <v>153</v>
      </c>
      <c r="E52" s="38" t="s">
        <v>17</v>
      </c>
      <c r="F52" s="40"/>
      <c r="G52" s="41">
        <f>4.25*0.89</f>
        <v>3.7825000000000002</v>
      </c>
      <c r="H52" s="43">
        <f t="shared" si="6"/>
        <v>0</v>
      </c>
      <c r="J52" s="55"/>
      <c r="K52" s="16"/>
      <c r="AF52" s="17"/>
    </row>
    <row r="53" spans="2:32" ht="23.25" hidden="1" customHeight="1">
      <c r="B53" s="42" t="s">
        <v>134</v>
      </c>
      <c r="C53" s="38" t="s">
        <v>48</v>
      </c>
      <c r="D53" s="39" t="s">
        <v>49</v>
      </c>
      <c r="E53" s="38" t="s">
        <v>17</v>
      </c>
      <c r="F53" s="40"/>
      <c r="G53" s="41">
        <f>3.71*0.89</f>
        <v>3.3018999999999998</v>
      </c>
      <c r="H53" s="43">
        <f t="shared" si="6"/>
        <v>0</v>
      </c>
      <c r="J53" s="55"/>
      <c r="K53" s="16"/>
      <c r="AF53" s="17"/>
    </row>
    <row r="54" spans="2:32" ht="23.25" hidden="1" customHeight="1" thickBot="1">
      <c r="B54" s="49" t="s">
        <v>135</v>
      </c>
      <c r="C54" s="50" t="s">
        <v>52</v>
      </c>
      <c r="D54" s="71" t="s">
        <v>152</v>
      </c>
      <c r="E54" s="50" t="s">
        <v>17</v>
      </c>
      <c r="F54" s="51"/>
      <c r="G54" s="52">
        <f>3.72*0.89</f>
        <v>3.3108000000000004</v>
      </c>
      <c r="H54" s="53">
        <f t="shared" si="6"/>
        <v>0</v>
      </c>
      <c r="J54" s="55"/>
      <c r="K54" s="16"/>
      <c r="AF54" s="17"/>
    </row>
    <row r="55" spans="2:32" ht="23.25" hidden="1" customHeight="1" thickBot="1">
      <c r="B55" s="66" t="s">
        <v>102</v>
      </c>
      <c r="C55" s="72" t="s">
        <v>103</v>
      </c>
      <c r="D55" s="72"/>
      <c r="E55" s="72"/>
      <c r="F55" s="72"/>
      <c r="G55" s="72"/>
      <c r="H55" s="81">
        <f>SUM(H56:H60)</f>
        <v>0</v>
      </c>
      <c r="J55" s="55"/>
      <c r="K55" s="16"/>
      <c r="AF55" s="17"/>
    </row>
    <row r="56" spans="2:32" ht="23.25" hidden="1" customHeight="1">
      <c r="B56" s="18" t="s">
        <v>136</v>
      </c>
      <c r="C56" s="38" t="s">
        <v>92</v>
      </c>
      <c r="D56" s="54" t="s">
        <v>16</v>
      </c>
      <c r="E56" s="38" t="s">
        <v>7</v>
      </c>
      <c r="F56" s="40"/>
      <c r="G56" s="41">
        <v>45.29</v>
      </c>
      <c r="H56" s="43">
        <f>F56*G56</f>
        <v>0</v>
      </c>
      <c r="J56" s="55"/>
      <c r="K56" s="16"/>
      <c r="AF56" s="17"/>
    </row>
    <row r="57" spans="2:32" ht="23.25" hidden="1" customHeight="1">
      <c r="B57" s="68" t="s">
        <v>137</v>
      </c>
      <c r="C57" s="38" t="s">
        <v>55</v>
      </c>
      <c r="D57" s="54" t="s">
        <v>54</v>
      </c>
      <c r="E57" s="38" t="s">
        <v>13</v>
      </c>
      <c r="F57" s="40"/>
      <c r="G57" s="41">
        <f>427.21*0.89</f>
        <v>380.21690000000001</v>
      </c>
      <c r="H57" s="43">
        <f>F57*G57</f>
        <v>0</v>
      </c>
      <c r="J57" s="55"/>
      <c r="K57" s="16"/>
      <c r="AF57" s="17"/>
    </row>
    <row r="58" spans="2:32" ht="23.25" hidden="1" customHeight="1">
      <c r="B58" s="68" t="s">
        <v>138</v>
      </c>
      <c r="C58" s="80" t="s">
        <v>117</v>
      </c>
      <c r="D58" s="76" t="s">
        <v>116</v>
      </c>
      <c r="E58" s="38" t="s">
        <v>17</v>
      </c>
      <c r="F58" s="40"/>
      <c r="G58" s="41">
        <f>3.55*0.89</f>
        <v>3.1595</v>
      </c>
      <c r="H58" s="43">
        <f>F58*G58</f>
        <v>0</v>
      </c>
      <c r="J58" s="55"/>
      <c r="K58" s="16"/>
      <c r="AF58" s="17"/>
    </row>
    <row r="59" spans="2:32" ht="23.25" hidden="1" customHeight="1">
      <c r="B59" s="42" t="s">
        <v>221</v>
      </c>
      <c r="C59" s="38" t="s">
        <v>18</v>
      </c>
      <c r="D59" s="59" t="s">
        <v>19</v>
      </c>
      <c r="E59" s="38" t="s">
        <v>8</v>
      </c>
      <c r="F59" s="40"/>
      <c r="G59" s="41">
        <v>40.57</v>
      </c>
      <c r="H59" s="43">
        <f t="shared" ref="H59:H60" si="7">F59*G59</f>
        <v>0</v>
      </c>
      <c r="J59" s="55"/>
      <c r="K59" s="16"/>
      <c r="AF59" s="17"/>
    </row>
    <row r="60" spans="2:32" ht="23.25" hidden="1" customHeight="1" thickBot="1">
      <c r="B60" s="44" t="s">
        <v>222</v>
      </c>
      <c r="C60" s="45" t="s">
        <v>20</v>
      </c>
      <c r="D60" s="122" t="s">
        <v>21</v>
      </c>
      <c r="E60" s="45" t="s">
        <v>8</v>
      </c>
      <c r="F60" s="46"/>
      <c r="G60" s="47">
        <v>31.03</v>
      </c>
      <c r="H60" s="48">
        <f t="shared" si="7"/>
        <v>0</v>
      </c>
      <c r="J60" s="55"/>
      <c r="K60" s="16"/>
      <c r="AF60" s="17"/>
    </row>
    <row r="61" spans="2:32" ht="23.25" hidden="1" customHeight="1" thickBot="1">
      <c r="B61" s="66" t="s">
        <v>104</v>
      </c>
      <c r="C61" s="72" t="s">
        <v>108</v>
      </c>
      <c r="D61" s="62"/>
      <c r="E61" s="61"/>
      <c r="F61" s="63"/>
      <c r="G61" s="64"/>
      <c r="H61" s="91">
        <f>SUM(H62:H65)</f>
        <v>0</v>
      </c>
      <c r="J61" s="55"/>
      <c r="K61" s="16"/>
      <c r="AF61" s="17"/>
    </row>
    <row r="62" spans="2:32" ht="23.25" hidden="1" customHeight="1">
      <c r="B62" s="18" t="s">
        <v>142</v>
      </c>
      <c r="C62" s="38" t="s">
        <v>92</v>
      </c>
      <c r="D62" s="54" t="s">
        <v>16</v>
      </c>
      <c r="E62" s="38" t="s">
        <v>7</v>
      </c>
      <c r="F62" s="40"/>
      <c r="G62" s="41">
        <v>45.29</v>
      </c>
      <c r="H62" s="43">
        <f>F62*G62</f>
        <v>0</v>
      </c>
      <c r="J62" s="55"/>
      <c r="K62" s="16"/>
      <c r="AF62" s="17"/>
    </row>
    <row r="63" spans="2:32" ht="23.25" hidden="1" customHeight="1">
      <c r="B63" s="68" t="s">
        <v>143</v>
      </c>
      <c r="C63" s="38" t="s">
        <v>55</v>
      </c>
      <c r="D63" s="54" t="s">
        <v>54</v>
      </c>
      <c r="E63" s="38" t="s">
        <v>13</v>
      </c>
      <c r="F63" s="40"/>
      <c r="G63" s="41">
        <f>427.21*0.89</f>
        <v>380.21690000000001</v>
      </c>
      <c r="H63" s="43">
        <f>F63*G63</f>
        <v>0</v>
      </c>
      <c r="J63" s="55"/>
      <c r="K63" s="16"/>
      <c r="AF63" s="17"/>
    </row>
    <row r="64" spans="2:32" ht="23.25" hidden="1" customHeight="1">
      <c r="B64" s="42" t="s">
        <v>146</v>
      </c>
      <c r="C64" s="38" t="s">
        <v>48</v>
      </c>
      <c r="D64" s="39" t="s">
        <v>49</v>
      </c>
      <c r="E64" s="38" t="s">
        <v>17</v>
      </c>
      <c r="F64" s="40"/>
      <c r="G64" s="41">
        <f>3.71*0.89</f>
        <v>3.3018999999999998</v>
      </c>
      <c r="H64" s="43">
        <f t="shared" ref="H64:H65" si="8">F64*G64</f>
        <v>0</v>
      </c>
      <c r="J64" s="55"/>
      <c r="K64" s="16"/>
      <c r="AF64" s="17"/>
    </row>
    <row r="65" spans="2:32" ht="23.25" hidden="1" customHeight="1" thickBot="1">
      <c r="B65" s="42" t="s">
        <v>147</v>
      </c>
      <c r="C65" s="50" t="s">
        <v>52</v>
      </c>
      <c r="D65" s="71" t="s">
        <v>152</v>
      </c>
      <c r="E65" s="50" t="s">
        <v>17</v>
      </c>
      <c r="F65" s="51"/>
      <c r="G65" s="52">
        <f>3.72*0.89</f>
        <v>3.3108000000000004</v>
      </c>
      <c r="H65" s="53">
        <f t="shared" si="8"/>
        <v>0</v>
      </c>
      <c r="J65" s="55"/>
      <c r="K65" s="16"/>
      <c r="AF65" s="17"/>
    </row>
    <row r="66" spans="2:32" ht="23.25" hidden="1" customHeight="1" thickBot="1">
      <c r="B66" s="69" t="s">
        <v>106</v>
      </c>
      <c r="C66" s="78" t="s">
        <v>105</v>
      </c>
      <c r="D66" s="83"/>
      <c r="E66" s="84"/>
      <c r="F66" s="85"/>
      <c r="G66" s="86"/>
      <c r="H66" s="92">
        <f>SUM(H67:H70)</f>
        <v>0</v>
      </c>
      <c r="J66" s="55"/>
      <c r="K66" s="16"/>
      <c r="AF66" s="17"/>
    </row>
    <row r="67" spans="2:32" ht="23.25" hidden="1" customHeight="1">
      <c r="B67" s="18" t="s">
        <v>139</v>
      </c>
      <c r="C67" s="19" t="s">
        <v>88</v>
      </c>
      <c r="D67" s="20" t="s">
        <v>87</v>
      </c>
      <c r="E67" s="19" t="s">
        <v>13</v>
      </c>
      <c r="F67" s="21"/>
      <c r="G67" s="22">
        <f>93.17*0.89</f>
        <v>82.921300000000002</v>
      </c>
      <c r="H67" s="23">
        <f>F67*G67</f>
        <v>0</v>
      </c>
      <c r="J67" s="55"/>
      <c r="K67" s="16"/>
      <c r="AF67" s="17"/>
    </row>
    <row r="68" spans="2:32" ht="23.25" hidden="1" customHeight="1">
      <c r="B68" s="42" t="s">
        <v>140</v>
      </c>
      <c r="C68" s="38" t="s">
        <v>92</v>
      </c>
      <c r="D68" s="54" t="s">
        <v>16</v>
      </c>
      <c r="E68" s="38" t="s">
        <v>7</v>
      </c>
      <c r="F68" s="40"/>
      <c r="G68" s="41">
        <v>45.29</v>
      </c>
      <c r="H68" s="43">
        <f>F68*G68</f>
        <v>0</v>
      </c>
      <c r="J68" s="55"/>
      <c r="K68" s="16"/>
      <c r="AF68" s="17"/>
    </row>
    <row r="69" spans="2:32" ht="23.25" hidden="1" customHeight="1">
      <c r="B69" s="42" t="s">
        <v>141</v>
      </c>
      <c r="C69" s="38" t="s">
        <v>55</v>
      </c>
      <c r="D69" s="54" t="s">
        <v>54</v>
      </c>
      <c r="E69" s="38" t="s">
        <v>13</v>
      </c>
      <c r="F69" s="40"/>
      <c r="G69" s="41">
        <f>427.21*0.89</f>
        <v>380.21690000000001</v>
      </c>
      <c r="H69" s="43">
        <f>F69*G69</f>
        <v>0</v>
      </c>
      <c r="J69" s="55"/>
      <c r="K69" s="16"/>
      <c r="AF69" s="17"/>
    </row>
    <row r="70" spans="2:32" ht="23.25" hidden="1" customHeight="1" thickBot="1">
      <c r="B70" s="44" t="s">
        <v>155</v>
      </c>
      <c r="C70" s="45" t="s">
        <v>114</v>
      </c>
      <c r="D70" s="77" t="s">
        <v>115</v>
      </c>
      <c r="E70" s="45" t="s">
        <v>17</v>
      </c>
      <c r="F70" s="46"/>
      <c r="G70" s="47">
        <f>4.48*0.89</f>
        <v>3.9872000000000005</v>
      </c>
      <c r="H70" s="48">
        <f>F70*G70</f>
        <v>0</v>
      </c>
      <c r="J70" s="55"/>
      <c r="K70" s="16"/>
      <c r="AF70" s="17"/>
    </row>
    <row r="71" spans="2:32" ht="23.25" hidden="1" customHeight="1" thickBot="1">
      <c r="B71" s="99" t="s">
        <v>109</v>
      </c>
      <c r="C71" s="93" t="s">
        <v>65</v>
      </c>
      <c r="D71" s="94"/>
      <c r="E71" s="95"/>
      <c r="F71" s="96"/>
      <c r="G71" s="97"/>
      <c r="H71" s="98">
        <f>SUM(H72:H76)</f>
        <v>0</v>
      </c>
      <c r="J71" s="55"/>
      <c r="K71" s="16"/>
      <c r="AF71" s="17"/>
    </row>
    <row r="72" spans="2:32" ht="23.25" hidden="1" customHeight="1">
      <c r="B72" s="18" t="s">
        <v>148</v>
      </c>
      <c r="C72" s="19" t="s">
        <v>112</v>
      </c>
      <c r="D72" s="20" t="s">
        <v>113</v>
      </c>
      <c r="E72" s="19" t="s">
        <v>7</v>
      </c>
      <c r="F72" s="21"/>
      <c r="G72" s="22">
        <f>60.42*0.89</f>
        <v>53.773800000000001</v>
      </c>
      <c r="H72" s="23">
        <f t="shared" ref="H72:H75" si="9">F72*G72</f>
        <v>0</v>
      </c>
      <c r="J72" s="55"/>
      <c r="K72" s="16"/>
      <c r="AF72" s="17"/>
    </row>
    <row r="73" spans="2:32" ht="23.25" hidden="1" customHeight="1">
      <c r="B73" s="42" t="s">
        <v>149</v>
      </c>
      <c r="C73" s="38" t="s">
        <v>110</v>
      </c>
      <c r="D73" s="76" t="s">
        <v>111</v>
      </c>
      <c r="E73" s="38" t="s">
        <v>13</v>
      </c>
      <c r="F73" s="40"/>
      <c r="G73" s="41">
        <f>2279.84*0.89</f>
        <v>2029.0576000000001</v>
      </c>
      <c r="H73" s="43">
        <f t="shared" si="9"/>
        <v>0</v>
      </c>
      <c r="J73" s="55"/>
      <c r="K73" s="16"/>
      <c r="AF73" s="17"/>
    </row>
    <row r="74" spans="2:32" ht="23.25" hidden="1" customHeight="1">
      <c r="B74" s="42" t="s">
        <v>150</v>
      </c>
      <c r="C74" s="38" t="s">
        <v>51</v>
      </c>
      <c r="D74" s="39" t="s">
        <v>50</v>
      </c>
      <c r="E74" s="38" t="s">
        <v>17</v>
      </c>
      <c r="F74" s="40"/>
      <c r="G74" s="41">
        <f>3.69*0.89</f>
        <v>3.2841</v>
      </c>
      <c r="H74" s="43">
        <f t="shared" si="9"/>
        <v>0</v>
      </c>
      <c r="J74" s="55"/>
      <c r="K74" s="16"/>
      <c r="AF74" s="17"/>
    </row>
    <row r="75" spans="2:32" ht="23.25" hidden="1" customHeight="1">
      <c r="B75" s="49" t="s">
        <v>151</v>
      </c>
      <c r="C75" s="38" t="s">
        <v>53</v>
      </c>
      <c r="D75" s="54" t="s">
        <v>153</v>
      </c>
      <c r="E75" s="38" t="s">
        <v>17</v>
      </c>
      <c r="F75" s="40"/>
      <c r="G75" s="41">
        <f>4.25*0.89</f>
        <v>3.7825000000000002</v>
      </c>
      <c r="H75" s="43">
        <f t="shared" si="9"/>
        <v>0</v>
      </c>
      <c r="J75" s="55"/>
      <c r="K75" s="16"/>
      <c r="AF75" s="17"/>
    </row>
    <row r="76" spans="2:32" ht="23.25" hidden="1" customHeight="1" thickBot="1">
      <c r="B76" s="44" t="s">
        <v>220</v>
      </c>
      <c r="C76" s="45" t="s">
        <v>191</v>
      </c>
      <c r="D76" s="56" t="s">
        <v>192</v>
      </c>
      <c r="E76" s="45" t="s">
        <v>7</v>
      </c>
      <c r="F76" s="46"/>
      <c r="G76" s="47">
        <f>80.55*0.89</f>
        <v>71.689499999999995</v>
      </c>
      <c r="H76" s="48">
        <f>F76*G76</f>
        <v>0</v>
      </c>
      <c r="J76" s="55"/>
      <c r="K76" s="16"/>
      <c r="AF76" s="17"/>
    </row>
    <row r="77" spans="2:32" ht="19.5" customHeight="1" thickBot="1">
      <c r="B77" s="29" t="s">
        <v>23</v>
      </c>
      <c r="C77" s="233" t="s">
        <v>56</v>
      </c>
      <c r="D77" s="233"/>
      <c r="E77" s="30"/>
      <c r="F77" s="31"/>
      <c r="G77" s="32"/>
      <c r="H77" s="33">
        <f>SUM(H78:H80)</f>
        <v>0</v>
      </c>
    </row>
    <row r="78" spans="2:32" ht="23.25" hidden="1" customHeight="1">
      <c r="B78" s="18" t="s">
        <v>158</v>
      </c>
      <c r="C78" s="19" t="s">
        <v>162</v>
      </c>
      <c r="D78" s="20" t="s">
        <v>24</v>
      </c>
      <c r="E78" s="19" t="s">
        <v>7</v>
      </c>
      <c r="F78" s="21"/>
      <c r="G78" s="22">
        <v>23.39</v>
      </c>
      <c r="H78" s="23">
        <f t="shared" ref="H78:H80" si="10">F78*G78</f>
        <v>0</v>
      </c>
      <c r="J78" s="13"/>
    </row>
    <row r="79" spans="2:32" ht="23.25" hidden="1" customHeight="1">
      <c r="B79" s="100" t="s">
        <v>160</v>
      </c>
      <c r="C79" s="38" t="s">
        <v>163</v>
      </c>
      <c r="D79" s="39" t="s">
        <v>25</v>
      </c>
      <c r="E79" s="38" t="s">
        <v>7</v>
      </c>
      <c r="F79" s="40"/>
      <c r="G79" s="41">
        <v>14.880799999999999</v>
      </c>
      <c r="H79" s="43">
        <f t="shared" si="10"/>
        <v>0</v>
      </c>
    </row>
    <row r="80" spans="2:32" ht="23.25" hidden="1" customHeight="1" thickBot="1">
      <c r="B80" s="107" t="s">
        <v>161</v>
      </c>
      <c r="C80" s="50" t="s">
        <v>156</v>
      </c>
      <c r="D80" s="60" t="s">
        <v>157</v>
      </c>
      <c r="E80" s="50" t="s">
        <v>7</v>
      </c>
      <c r="F80" s="51"/>
      <c r="G80" s="52">
        <f>159.1*0.89</f>
        <v>141.59899999999999</v>
      </c>
      <c r="H80" s="53">
        <f t="shared" si="10"/>
        <v>0</v>
      </c>
    </row>
    <row r="81" spans="2:10" ht="15.75" thickBot="1">
      <c r="B81" s="118" t="s">
        <v>26</v>
      </c>
      <c r="C81" s="233" t="s">
        <v>43</v>
      </c>
      <c r="D81" s="233"/>
      <c r="E81" s="30"/>
      <c r="F81" s="31"/>
      <c r="G81" s="32"/>
      <c r="H81" s="33">
        <f>SUM(H82:H83)</f>
        <v>0</v>
      </c>
      <c r="J81" s="16" t="s">
        <v>46</v>
      </c>
    </row>
    <row r="82" spans="2:10" ht="33.75" hidden="1">
      <c r="B82" s="18" t="s">
        <v>204</v>
      </c>
      <c r="C82" s="19" t="s">
        <v>66</v>
      </c>
      <c r="D82" s="20" t="s">
        <v>67</v>
      </c>
      <c r="E82" s="19" t="s">
        <v>8</v>
      </c>
      <c r="F82" s="21"/>
      <c r="G82" s="22">
        <f>58.61*0.89</f>
        <v>52.1629</v>
      </c>
      <c r="H82" s="23">
        <f>F82*G82</f>
        <v>0</v>
      </c>
      <c r="J82" s="16"/>
    </row>
    <row r="83" spans="2:10" ht="45.75" hidden="1" thickBot="1">
      <c r="B83" s="108" t="s">
        <v>205</v>
      </c>
      <c r="C83" s="45" t="s">
        <v>216</v>
      </c>
      <c r="D83" s="106" t="s">
        <v>57</v>
      </c>
      <c r="E83" s="45" t="s">
        <v>22</v>
      </c>
      <c r="F83" s="46"/>
      <c r="G83" s="47">
        <v>544.79999999999995</v>
      </c>
      <c r="H83" s="48">
        <f>F83*G83</f>
        <v>0</v>
      </c>
      <c r="J83" s="16"/>
    </row>
    <row r="84" spans="2:10" ht="15">
      <c r="B84" s="105" t="s">
        <v>27</v>
      </c>
      <c r="C84" s="245" t="s">
        <v>70</v>
      </c>
      <c r="D84" s="245"/>
      <c r="E84" s="101"/>
      <c r="F84" s="102"/>
      <c r="G84" s="103"/>
      <c r="H84" s="104">
        <f>SUM(H85:H145)</f>
        <v>803326.77899999998</v>
      </c>
      <c r="J84" s="16" t="s">
        <v>47</v>
      </c>
    </row>
    <row r="85" spans="2:10" ht="15" hidden="1">
      <c r="B85" s="18" t="s">
        <v>159</v>
      </c>
      <c r="C85" s="19" t="s">
        <v>164</v>
      </c>
      <c r="D85" s="20" t="s">
        <v>165</v>
      </c>
      <c r="E85" s="19" t="s">
        <v>22</v>
      </c>
      <c r="F85" s="21"/>
      <c r="G85" s="22">
        <f>46.06*0.89</f>
        <v>40.993400000000001</v>
      </c>
      <c r="H85" s="23">
        <f>F85*G85</f>
        <v>0</v>
      </c>
      <c r="J85" s="16"/>
    </row>
    <row r="86" spans="2:10" ht="22.5" hidden="1">
      <c r="B86" s="100" t="s">
        <v>166</v>
      </c>
      <c r="C86" s="38" t="s">
        <v>216</v>
      </c>
      <c r="D86" s="59" t="s">
        <v>58</v>
      </c>
      <c r="E86" s="38" t="s">
        <v>22</v>
      </c>
      <c r="F86" s="40"/>
      <c r="G86" s="41">
        <v>27</v>
      </c>
      <c r="H86" s="43">
        <f>F86*G86</f>
        <v>0</v>
      </c>
      <c r="J86" s="16"/>
    </row>
    <row r="87" spans="2:10" ht="22.5" hidden="1">
      <c r="B87" s="100" t="s">
        <v>167</v>
      </c>
      <c r="C87" s="38" t="s">
        <v>61</v>
      </c>
      <c r="D87" s="54" t="s">
        <v>62</v>
      </c>
      <c r="E87" s="38" t="s">
        <v>8</v>
      </c>
      <c r="F87" s="40"/>
      <c r="G87" s="41">
        <f>147.69*0.89</f>
        <v>131.44409999999999</v>
      </c>
      <c r="H87" s="43">
        <f>F87*G87</f>
        <v>0</v>
      </c>
    </row>
    <row r="88" spans="2:10" ht="22.5" hidden="1">
      <c r="B88" s="100" t="s">
        <v>171</v>
      </c>
      <c r="C88" s="38" t="s">
        <v>169</v>
      </c>
      <c r="D88" s="54" t="s">
        <v>170</v>
      </c>
      <c r="E88" s="38" t="s">
        <v>22</v>
      </c>
      <c r="F88" s="40"/>
      <c r="G88" s="41">
        <f>10.91*0.89</f>
        <v>9.7099000000000011</v>
      </c>
      <c r="H88" s="43">
        <f>F88*G88</f>
        <v>0</v>
      </c>
      <c r="J88" s="16"/>
    </row>
    <row r="89" spans="2:10" ht="15" hidden="1">
      <c r="B89" s="100" t="s">
        <v>168</v>
      </c>
      <c r="C89" s="38" t="s">
        <v>172</v>
      </c>
      <c r="D89" s="120" t="s">
        <v>173</v>
      </c>
      <c r="E89" s="38" t="s">
        <v>8</v>
      </c>
      <c r="F89" s="40"/>
      <c r="G89" s="41">
        <f>8.21*0.89</f>
        <v>7.3069000000000006</v>
      </c>
      <c r="H89" s="43">
        <f>F89*G89</f>
        <v>0</v>
      </c>
      <c r="J89" s="16"/>
    </row>
    <row r="90" spans="2:10" hidden="1">
      <c r="B90" s="100" t="s">
        <v>180</v>
      </c>
      <c r="C90" s="38" t="s">
        <v>174</v>
      </c>
      <c r="D90" s="131" t="s">
        <v>175</v>
      </c>
      <c r="E90" s="38" t="s">
        <v>22</v>
      </c>
      <c r="F90" s="40"/>
      <c r="G90" s="41">
        <f>3.75*0.89</f>
        <v>3.3374999999999999</v>
      </c>
      <c r="H90" s="43">
        <f t="shared" ref="H90:H133" si="11">F90*G90</f>
        <v>0</v>
      </c>
      <c r="J90" s="16"/>
    </row>
    <row r="91" spans="2:10" hidden="1">
      <c r="B91" s="100" t="s">
        <v>181</v>
      </c>
      <c r="C91" s="38" t="s">
        <v>176</v>
      </c>
      <c r="D91" s="131" t="s">
        <v>177</v>
      </c>
      <c r="E91" s="38" t="s">
        <v>8</v>
      </c>
      <c r="F91" s="40"/>
      <c r="G91" s="41">
        <f>10.29*0.89</f>
        <v>9.1580999999999992</v>
      </c>
      <c r="H91" s="43">
        <f t="shared" si="11"/>
        <v>0</v>
      </c>
      <c r="J91" s="16"/>
    </row>
    <row r="92" spans="2:10" ht="15" hidden="1">
      <c r="B92" s="100" t="s">
        <v>238</v>
      </c>
      <c r="C92" s="38" t="s">
        <v>216</v>
      </c>
      <c r="D92" s="54" t="s">
        <v>277</v>
      </c>
      <c r="E92" s="38" t="s">
        <v>8</v>
      </c>
      <c r="F92" s="40"/>
      <c r="G92" s="41">
        <v>594</v>
      </c>
      <c r="H92" s="43">
        <f t="shared" si="11"/>
        <v>0</v>
      </c>
      <c r="J92" s="16"/>
    </row>
    <row r="93" spans="2:10" ht="15" hidden="1">
      <c r="B93" s="100" t="s">
        <v>239</v>
      </c>
      <c r="C93" s="38" t="s">
        <v>216</v>
      </c>
      <c r="D93" s="39" t="s">
        <v>278</v>
      </c>
      <c r="E93" s="38" t="s">
        <v>8</v>
      </c>
      <c r="F93" s="40"/>
      <c r="G93" s="41">
        <v>475.08300000000003</v>
      </c>
      <c r="H93" s="43">
        <f t="shared" si="11"/>
        <v>0</v>
      </c>
      <c r="J93" s="16"/>
    </row>
    <row r="94" spans="2:10" ht="15" hidden="1">
      <c r="B94" s="100" t="s">
        <v>240</v>
      </c>
      <c r="C94" s="38" t="s">
        <v>216</v>
      </c>
      <c r="D94" s="54" t="s">
        <v>279</v>
      </c>
      <c r="E94" s="38" t="s">
        <v>8</v>
      </c>
      <c r="F94" s="40"/>
      <c r="G94" s="41">
        <v>337.70600000000002</v>
      </c>
      <c r="H94" s="43">
        <f t="shared" si="11"/>
        <v>0</v>
      </c>
      <c r="J94" s="16"/>
    </row>
    <row r="95" spans="2:10" ht="15" hidden="1">
      <c r="B95" s="100" t="s">
        <v>241</v>
      </c>
      <c r="C95" s="38" t="s">
        <v>216</v>
      </c>
      <c r="D95" s="39" t="s">
        <v>281</v>
      </c>
      <c r="E95" s="38" t="s">
        <v>8</v>
      </c>
      <c r="F95" s="40"/>
      <c r="G95" s="41">
        <v>83.82</v>
      </c>
      <c r="H95" s="43">
        <f t="shared" si="11"/>
        <v>0</v>
      </c>
      <c r="J95" s="16"/>
    </row>
    <row r="96" spans="2:10" ht="15" hidden="1">
      <c r="B96" s="100" t="s">
        <v>242</v>
      </c>
      <c r="C96" s="38" t="s">
        <v>216</v>
      </c>
      <c r="D96" s="39" t="s">
        <v>325</v>
      </c>
      <c r="E96" s="38" t="s">
        <v>8</v>
      </c>
      <c r="F96" s="40"/>
      <c r="G96" s="41">
        <v>236.7</v>
      </c>
      <c r="H96" s="43">
        <f t="shared" si="11"/>
        <v>0</v>
      </c>
      <c r="J96" s="16"/>
    </row>
    <row r="97" spans="2:11" ht="15" hidden="1">
      <c r="B97" s="100" t="s">
        <v>243</v>
      </c>
      <c r="C97" s="38" t="s">
        <v>216</v>
      </c>
      <c r="D97" s="39" t="s">
        <v>280</v>
      </c>
      <c r="E97" s="38" t="s">
        <v>8</v>
      </c>
      <c r="F97" s="40"/>
      <c r="G97" s="41">
        <v>21</v>
      </c>
      <c r="H97" s="43">
        <f t="shared" si="11"/>
        <v>0</v>
      </c>
      <c r="J97" s="16"/>
    </row>
    <row r="98" spans="2:11" ht="15" hidden="1">
      <c r="B98" s="100" t="s">
        <v>244</v>
      </c>
      <c r="C98" s="38" t="s">
        <v>216</v>
      </c>
      <c r="D98" s="39" t="s">
        <v>282</v>
      </c>
      <c r="E98" s="38" t="s">
        <v>8</v>
      </c>
      <c r="F98" s="40"/>
      <c r="G98" s="41">
        <v>21.61</v>
      </c>
      <c r="H98" s="43">
        <f t="shared" si="11"/>
        <v>0</v>
      </c>
      <c r="J98" s="16"/>
    </row>
    <row r="99" spans="2:11" ht="15" hidden="1">
      <c r="B99" s="100" t="s">
        <v>245</v>
      </c>
      <c r="C99" s="38" t="s">
        <v>216</v>
      </c>
      <c r="D99" s="39" t="s">
        <v>283</v>
      </c>
      <c r="E99" s="38" t="s">
        <v>8</v>
      </c>
      <c r="F99" s="40"/>
      <c r="G99" s="41">
        <v>23</v>
      </c>
      <c r="H99" s="43">
        <f t="shared" si="11"/>
        <v>0</v>
      </c>
      <c r="J99" s="16"/>
    </row>
    <row r="100" spans="2:11" ht="15" hidden="1">
      <c r="B100" s="100" t="s">
        <v>246</v>
      </c>
      <c r="C100" s="38" t="s">
        <v>216</v>
      </c>
      <c r="D100" s="73" t="s">
        <v>284</v>
      </c>
      <c r="E100" s="38" t="s">
        <v>8</v>
      </c>
      <c r="F100" s="40"/>
      <c r="G100" s="41">
        <v>27.663399999999999</v>
      </c>
      <c r="H100" s="43">
        <f t="shared" si="11"/>
        <v>0</v>
      </c>
      <c r="J100" s="16"/>
    </row>
    <row r="101" spans="2:11" ht="15" hidden="1">
      <c r="B101" s="100" t="s">
        <v>247</v>
      </c>
      <c r="C101" s="38" t="s">
        <v>216</v>
      </c>
      <c r="D101" s="73" t="s">
        <v>285</v>
      </c>
      <c r="E101" s="38" t="s">
        <v>8</v>
      </c>
      <c r="F101" s="40"/>
      <c r="G101" s="41">
        <v>18.5</v>
      </c>
      <c r="H101" s="43">
        <f t="shared" si="11"/>
        <v>0</v>
      </c>
      <c r="J101" s="16"/>
    </row>
    <row r="102" spans="2:11" ht="15" hidden="1">
      <c r="B102" s="100" t="s">
        <v>248</v>
      </c>
      <c r="C102" s="38" t="s">
        <v>216</v>
      </c>
      <c r="D102" s="73" t="s">
        <v>286</v>
      </c>
      <c r="E102" s="38" t="s">
        <v>8</v>
      </c>
      <c r="F102" s="40"/>
      <c r="G102" s="41">
        <v>22.85</v>
      </c>
      <c r="H102" s="43">
        <f t="shared" si="11"/>
        <v>0</v>
      </c>
      <c r="J102" s="16"/>
    </row>
    <row r="103" spans="2:11" ht="33.75" hidden="1">
      <c r="B103" s="100" t="s">
        <v>249</v>
      </c>
      <c r="C103" s="134" t="s">
        <v>216</v>
      </c>
      <c r="D103" s="73" t="s">
        <v>287</v>
      </c>
      <c r="E103" s="134" t="s">
        <v>8</v>
      </c>
      <c r="F103" s="40"/>
      <c r="G103" s="41">
        <v>1990</v>
      </c>
      <c r="H103" s="43">
        <f t="shared" si="11"/>
        <v>0</v>
      </c>
      <c r="J103" s="16"/>
    </row>
    <row r="104" spans="2:11" ht="33.75" hidden="1">
      <c r="B104" s="100" t="s">
        <v>250</v>
      </c>
      <c r="C104" s="134" t="s">
        <v>216</v>
      </c>
      <c r="D104" s="73" t="s">
        <v>288</v>
      </c>
      <c r="E104" s="134" t="s">
        <v>8</v>
      </c>
      <c r="F104" s="40"/>
      <c r="G104" s="41">
        <v>2236.96</v>
      </c>
      <c r="H104" s="43">
        <f t="shared" si="11"/>
        <v>0</v>
      </c>
      <c r="J104" s="16"/>
      <c r="K104" s="65"/>
    </row>
    <row r="105" spans="2:11" ht="15" hidden="1">
      <c r="B105" s="100" t="s">
        <v>251</v>
      </c>
      <c r="C105" s="134" t="s">
        <v>216</v>
      </c>
      <c r="D105" s="135" t="s">
        <v>289</v>
      </c>
      <c r="E105" s="134" t="s">
        <v>8</v>
      </c>
      <c r="F105" s="40"/>
      <c r="G105" s="41">
        <v>810.76800000000003</v>
      </c>
      <c r="H105" s="43">
        <f t="shared" si="11"/>
        <v>0</v>
      </c>
      <c r="J105" s="16"/>
    </row>
    <row r="106" spans="2:11" ht="15" hidden="1">
      <c r="B106" s="100" t="s">
        <v>252</v>
      </c>
      <c r="C106" s="134" t="s">
        <v>216</v>
      </c>
      <c r="D106" s="73" t="s">
        <v>290</v>
      </c>
      <c r="E106" s="134" t="s">
        <v>8</v>
      </c>
      <c r="F106" s="40"/>
      <c r="G106" s="41">
        <v>272</v>
      </c>
      <c r="H106" s="43">
        <f t="shared" si="11"/>
        <v>0</v>
      </c>
      <c r="J106" s="16"/>
    </row>
    <row r="107" spans="2:11" ht="15" hidden="1">
      <c r="B107" s="100" t="s">
        <v>253</v>
      </c>
      <c r="C107" s="134" t="s">
        <v>216</v>
      </c>
      <c r="D107" s="73" t="s">
        <v>291</v>
      </c>
      <c r="E107" s="134" t="s">
        <v>8</v>
      </c>
      <c r="F107" s="40"/>
      <c r="G107" s="41">
        <v>272</v>
      </c>
      <c r="H107" s="43">
        <f t="shared" si="11"/>
        <v>0</v>
      </c>
      <c r="J107" s="16"/>
    </row>
    <row r="108" spans="2:11" ht="15" hidden="1">
      <c r="B108" s="100" t="s">
        <v>254</v>
      </c>
      <c r="C108" s="134" t="s">
        <v>216</v>
      </c>
      <c r="D108" s="73" t="s">
        <v>292</v>
      </c>
      <c r="E108" s="134" t="s">
        <v>8</v>
      </c>
      <c r="F108" s="40"/>
      <c r="G108" s="41">
        <v>140.56</v>
      </c>
      <c r="H108" s="43">
        <f t="shared" si="11"/>
        <v>0</v>
      </c>
      <c r="J108" s="16"/>
    </row>
    <row r="109" spans="2:11" ht="25.5" customHeight="1">
      <c r="B109" s="100" t="s">
        <v>255</v>
      </c>
      <c r="C109" s="134" t="s">
        <v>216</v>
      </c>
      <c r="D109" s="73" t="s">
        <v>293</v>
      </c>
      <c r="E109" s="134" t="s">
        <v>8</v>
      </c>
      <c r="F109" s="40">
        <v>1</v>
      </c>
      <c r="G109" s="41">
        <v>50930.879999999997</v>
      </c>
      <c r="H109" s="43">
        <f t="shared" si="11"/>
        <v>50930.879999999997</v>
      </c>
      <c r="J109" s="16"/>
    </row>
    <row r="110" spans="2:11" ht="15" hidden="1">
      <c r="B110" s="100" t="s">
        <v>256</v>
      </c>
      <c r="C110" s="134" t="s">
        <v>216</v>
      </c>
      <c r="D110" s="73" t="s">
        <v>294</v>
      </c>
      <c r="E110" s="134" t="s">
        <v>8</v>
      </c>
      <c r="F110" s="40"/>
      <c r="G110" s="41">
        <v>248.64</v>
      </c>
      <c r="H110" s="43">
        <f t="shared" si="11"/>
        <v>0</v>
      </c>
      <c r="J110" s="16"/>
    </row>
    <row r="111" spans="2:11" ht="15">
      <c r="B111" s="100" t="s">
        <v>257</v>
      </c>
      <c r="C111" s="134" t="s">
        <v>216</v>
      </c>
      <c r="D111" s="73" t="s">
        <v>295</v>
      </c>
      <c r="E111" s="134" t="s">
        <v>8</v>
      </c>
      <c r="F111" s="40">
        <v>2</v>
      </c>
      <c r="G111" s="41">
        <v>46205.120000000003</v>
      </c>
      <c r="H111" s="43">
        <f t="shared" si="11"/>
        <v>92410.240000000005</v>
      </c>
      <c r="J111" s="16"/>
    </row>
    <row r="112" spans="2:11" ht="33.75" hidden="1">
      <c r="B112" s="100" t="s">
        <v>258</v>
      </c>
      <c r="C112" s="134" t="s">
        <v>216</v>
      </c>
      <c r="D112" s="73" t="s">
        <v>296</v>
      </c>
      <c r="E112" s="134" t="s">
        <v>8</v>
      </c>
      <c r="F112" s="40"/>
      <c r="G112" s="41">
        <v>1536</v>
      </c>
      <c r="H112" s="43">
        <f t="shared" si="11"/>
        <v>0</v>
      </c>
      <c r="J112" s="16"/>
    </row>
    <row r="113" spans="2:10" ht="15" hidden="1">
      <c r="B113" s="100" t="s">
        <v>259</v>
      </c>
      <c r="C113" s="134" t="s">
        <v>216</v>
      </c>
      <c r="D113" s="73" t="s">
        <v>297</v>
      </c>
      <c r="E113" s="134" t="s">
        <v>8</v>
      </c>
      <c r="F113" s="40"/>
      <c r="G113" s="41">
        <v>29.16</v>
      </c>
      <c r="H113" s="43">
        <f t="shared" si="11"/>
        <v>0</v>
      </c>
      <c r="J113" s="16"/>
    </row>
    <row r="114" spans="2:10" ht="15" hidden="1">
      <c r="B114" s="100" t="s">
        <v>260</v>
      </c>
      <c r="C114" s="134" t="s">
        <v>216</v>
      </c>
      <c r="D114" s="73" t="s">
        <v>298</v>
      </c>
      <c r="E114" s="134" t="s">
        <v>8</v>
      </c>
      <c r="F114" s="40"/>
      <c r="G114" s="41">
        <v>71.828500000000005</v>
      </c>
      <c r="H114" s="43">
        <f t="shared" si="11"/>
        <v>0</v>
      </c>
      <c r="J114" s="16"/>
    </row>
    <row r="115" spans="2:10" ht="15" hidden="1">
      <c r="B115" s="100" t="s">
        <v>261</v>
      </c>
      <c r="C115" s="134" t="s">
        <v>216</v>
      </c>
      <c r="D115" s="73" t="s">
        <v>299</v>
      </c>
      <c r="E115" s="134" t="s">
        <v>8</v>
      </c>
      <c r="F115" s="40"/>
      <c r="G115" s="41">
        <v>15.468999999999999</v>
      </c>
      <c r="H115" s="43">
        <f t="shared" si="11"/>
        <v>0</v>
      </c>
      <c r="J115" s="16"/>
    </row>
    <row r="116" spans="2:10" ht="15" hidden="1">
      <c r="B116" s="100" t="s">
        <v>262</v>
      </c>
      <c r="C116" s="134" t="s">
        <v>216</v>
      </c>
      <c r="D116" s="73" t="s">
        <v>300</v>
      </c>
      <c r="E116" s="134" t="s">
        <v>8</v>
      </c>
      <c r="F116" s="40"/>
      <c r="G116" s="41">
        <v>1.32</v>
      </c>
      <c r="H116" s="43">
        <f t="shared" si="11"/>
        <v>0</v>
      </c>
      <c r="J116" s="16"/>
    </row>
    <row r="117" spans="2:10" ht="15" hidden="1">
      <c r="B117" s="100" t="s">
        <v>263</v>
      </c>
      <c r="C117" s="134" t="s">
        <v>216</v>
      </c>
      <c r="D117" s="73" t="s">
        <v>301</v>
      </c>
      <c r="E117" s="134" t="s">
        <v>8</v>
      </c>
      <c r="F117" s="40"/>
      <c r="G117" s="41">
        <v>47</v>
      </c>
      <c r="H117" s="43">
        <f t="shared" si="11"/>
        <v>0</v>
      </c>
      <c r="J117" s="16"/>
    </row>
    <row r="118" spans="2:10" ht="15" hidden="1">
      <c r="B118" s="100" t="s">
        <v>264</v>
      </c>
      <c r="C118" s="134" t="s">
        <v>216</v>
      </c>
      <c r="D118" s="73" t="s">
        <v>302</v>
      </c>
      <c r="E118" s="134" t="s">
        <v>8</v>
      </c>
      <c r="F118" s="40"/>
      <c r="G118" s="41">
        <f>40</f>
        <v>40</v>
      </c>
      <c r="H118" s="43">
        <f t="shared" si="11"/>
        <v>0</v>
      </c>
      <c r="J118" s="16"/>
    </row>
    <row r="119" spans="2:10" ht="15" hidden="1">
      <c r="B119" s="100" t="s">
        <v>265</v>
      </c>
      <c r="C119" s="134" t="s">
        <v>216</v>
      </c>
      <c r="D119" s="73" t="s">
        <v>303</v>
      </c>
      <c r="E119" s="134" t="s">
        <v>7</v>
      </c>
      <c r="F119" s="40"/>
      <c r="G119" s="41">
        <v>106.5</v>
      </c>
      <c r="H119" s="43">
        <f t="shared" si="11"/>
        <v>0</v>
      </c>
      <c r="J119" s="16"/>
    </row>
    <row r="120" spans="2:10" ht="15" hidden="1">
      <c r="B120" s="100" t="s">
        <v>266</v>
      </c>
      <c r="C120" s="134" t="s">
        <v>216</v>
      </c>
      <c r="D120" s="73" t="s">
        <v>304</v>
      </c>
      <c r="E120" s="134" t="s">
        <v>17</v>
      </c>
      <c r="F120" s="40"/>
      <c r="G120" s="41">
        <v>20</v>
      </c>
      <c r="H120" s="43">
        <f t="shared" si="11"/>
        <v>0</v>
      </c>
      <c r="J120" s="16"/>
    </row>
    <row r="121" spans="2:10" ht="15" hidden="1">
      <c r="B121" s="100" t="s">
        <v>267</v>
      </c>
      <c r="C121" s="134" t="s">
        <v>216</v>
      </c>
      <c r="D121" s="73" t="s">
        <v>305</v>
      </c>
      <c r="E121" s="134" t="s">
        <v>8</v>
      </c>
      <c r="F121" s="40"/>
      <c r="G121" s="41">
        <v>500</v>
      </c>
      <c r="H121" s="43">
        <f t="shared" si="11"/>
        <v>0</v>
      </c>
      <c r="J121" s="16"/>
    </row>
    <row r="122" spans="2:10" ht="15" hidden="1">
      <c r="B122" s="100" t="s">
        <v>268</v>
      </c>
      <c r="C122" s="134" t="s">
        <v>216</v>
      </c>
      <c r="D122" s="73" t="s">
        <v>306</v>
      </c>
      <c r="E122" s="134" t="s">
        <v>8</v>
      </c>
      <c r="F122" s="40"/>
      <c r="G122" s="41">
        <v>1480</v>
      </c>
      <c r="H122" s="43">
        <f t="shared" si="11"/>
        <v>0</v>
      </c>
      <c r="J122" s="16"/>
    </row>
    <row r="123" spans="2:10" ht="15" hidden="1">
      <c r="B123" s="100" t="s">
        <v>269</v>
      </c>
      <c r="C123" s="134" t="s">
        <v>216</v>
      </c>
      <c r="D123" s="73" t="s">
        <v>307</v>
      </c>
      <c r="E123" s="134" t="s">
        <v>8</v>
      </c>
      <c r="F123" s="40"/>
      <c r="G123" s="41">
        <v>499.85</v>
      </c>
      <c r="H123" s="43">
        <f t="shared" si="11"/>
        <v>0</v>
      </c>
      <c r="J123" s="16"/>
    </row>
    <row r="124" spans="2:10" ht="15" hidden="1">
      <c r="B124" s="100" t="s">
        <v>270</v>
      </c>
      <c r="C124" s="134" t="s">
        <v>216</v>
      </c>
      <c r="D124" s="73" t="s">
        <v>308</v>
      </c>
      <c r="E124" s="134" t="s">
        <v>8</v>
      </c>
      <c r="F124" s="40"/>
      <c r="G124" s="41">
        <v>1260</v>
      </c>
      <c r="H124" s="43">
        <f t="shared" si="11"/>
        <v>0</v>
      </c>
      <c r="J124" s="16"/>
    </row>
    <row r="125" spans="2:10" ht="22.5" hidden="1">
      <c r="B125" s="100" t="s">
        <v>271</v>
      </c>
      <c r="C125" s="134" t="s">
        <v>216</v>
      </c>
      <c r="D125" s="73" t="s">
        <v>309</v>
      </c>
      <c r="E125" s="134" t="s">
        <v>8</v>
      </c>
      <c r="F125" s="40"/>
      <c r="G125" s="41">
        <v>14.262499999999999</v>
      </c>
      <c r="H125" s="43">
        <f t="shared" si="11"/>
        <v>0</v>
      </c>
      <c r="J125" s="16"/>
    </row>
    <row r="126" spans="2:10" ht="15" hidden="1">
      <c r="B126" s="100" t="s">
        <v>272</v>
      </c>
      <c r="C126" s="134" t="s">
        <v>216</v>
      </c>
      <c r="D126" s="73" t="s">
        <v>310</v>
      </c>
      <c r="E126" s="134" t="s">
        <v>8</v>
      </c>
      <c r="F126" s="40"/>
      <c r="G126" s="41">
        <v>479.3</v>
      </c>
      <c r="H126" s="43">
        <f t="shared" si="11"/>
        <v>0</v>
      </c>
      <c r="J126" s="16"/>
    </row>
    <row r="127" spans="2:10" ht="15" hidden="1">
      <c r="B127" s="100" t="s">
        <v>273</v>
      </c>
      <c r="C127" s="134" t="s">
        <v>216</v>
      </c>
      <c r="D127" s="73" t="s">
        <v>311</v>
      </c>
      <c r="E127" s="134" t="s">
        <v>8</v>
      </c>
      <c r="F127" s="40"/>
      <c r="G127" s="41">
        <v>1140</v>
      </c>
      <c r="H127" s="43">
        <f t="shared" si="11"/>
        <v>0</v>
      </c>
      <c r="J127" s="16"/>
    </row>
    <row r="128" spans="2:10" ht="22.5">
      <c r="B128" s="100" t="s">
        <v>274</v>
      </c>
      <c r="C128" s="134" t="s">
        <v>216</v>
      </c>
      <c r="D128" s="73" t="s">
        <v>312</v>
      </c>
      <c r="E128" s="134" t="s">
        <v>8</v>
      </c>
      <c r="F128" s="40">
        <v>2</v>
      </c>
      <c r="G128" s="41">
        <v>10011.9</v>
      </c>
      <c r="H128" s="43">
        <f t="shared" si="11"/>
        <v>20023.8</v>
      </c>
      <c r="J128" s="16"/>
    </row>
    <row r="129" spans="2:10" ht="15">
      <c r="B129" s="100" t="s">
        <v>275</v>
      </c>
      <c r="C129" s="134" t="s">
        <v>216</v>
      </c>
      <c r="D129" s="73" t="s">
        <v>313</v>
      </c>
      <c r="E129" s="134" t="s">
        <v>8</v>
      </c>
      <c r="F129" s="40">
        <v>9</v>
      </c>
      <c r="G129" s="41">
        <v>1171.3610000000001</v>
      </c>
      <c r="H129" s="43">
        <f t="shared" si="11"/>
        <v>10542.249000000002</v>
      </c>
      <c r="J129" s="16"/>
    </row>
    <row r="130" spans="2:10" ht="15" hidden="1">
      <c r="B130" s="100" t="s">
        <v>276</v>
      </c>
      <c r="C130" s="134" t="s">
        <v>216</v>
      </c>
      <c r="D130" s="73" t="s">
        <v>314</v>
      </c>
      <c r="E130" s="134" t="s">
        <v>8</v>
      </c>
      <c r="F130" s="40"/>
      <c r="G130" s="41">
        <v>261066</v>
      </c>
      <c r="H130" s="43">
        <f t="shared" si="11"/>
        <v>0</v>
      </c>
      <c r="J130" s="16"/>
    </row>
    <row r="131" spans="2:10" ht="15">
      <c r="B131" s="100" t="s">
        <v>316</v>
      </c>
      <c r="C131" s="134" t="s">
        <v>216</v>
      </c>
      <c r="D131" s="73" t="s">
        <v>315</v>
      </c>
      <c r="E131" s="134" t="s">
        <v>8</v>
      </c>
      <c r="F131" s="40">
        <v>2</v>
      </c>
      <c r="G131" s="41">
        <v>19200</v>
      </c>
      <c r="H131" s="43">
        <f t="shared" si="11"/>
        <v>38400</v>
      </c>
      <c r="J131" s="16"/>
    </row>
    <row r="132" spans="2:10" ht="33.75" hidden="1">
      <c r="B132" s="100" t="s">
        <v>317</v>
      </c>
      <c r="C132" s="38" t="s">
        <v>75</v>
      </c>
      <c r="D132" s="73" t="s">
        <v>76</v>
      </c>
      <c r="E132" s="38" t="s">
        <v>8</v>
      </c>
      <c r="F132" s="40"/>
      <c r="G132" s="41">
        <f>42.23*0.89</f>
        <v>37.584699999999998</v>
      </c>
      <c r="H132" s="43">
        <f t="shared" si="11"/>
        <v>0</v>
      </c>
      <c r="J132" s="16"/>
    </row>
    <row r="133" spans="2:10" ht="15" hidden="1">
      <c r="B133" s="100" t="s">
        <v>318</v>
      </c>
      <c r="C133" s="38" t="s">
        <v>77</v>
      </c>
      <c r="D133" s="73" t="s">
        <v>78</v>
      </c>
      <c r="E133" s="38" t="s">
        <v>8</v>
      </c>
      <c r="F133" s="40"/>
      <c r="G133" s="41">
        <f>36.82*0.89</f>
        <v>32.769800000000004</v>
      </c>
      <c r="H133" s="43">
        <f t="shared" si="11"/>
        <v>0</v>
      </c>
      <c r="J133" s="16"/>
    </row>
    <row r="134" spans="2:10" hidden="1">
      <c r="B134" s="100" t="s">
        <v>319</v>
      </c>
      <c r="C134" s="38" t="s">
        <v>178</v>
      </c>
      <c r="D134" s="131" t="s">
        <v>179</v>
      </c>
      <c r="E134" s="38" t="s">
        <v>8</v>
      </c>
      <c r="F134" s="40"/>
      <c r="G134" s="41">
        <f>31.1*0.89</f>
        <v>27.679000000000002</v>
      </c>
      <c r="H134" s="43">
        <f>F134*G134</f>
        <v>0</v>
      </c>
      <c r="J134" s="55"/>
    </row>
    <row r="135" spans="2:10" ht="45" hidden="1">
      <c r="B135" s="100" t="s">
        <v>320</v>
      </c>
      <c r="C135" s="38" t="s">
        <v>68</v>
      </c>
      <c r="D135" s="54" t="s">
        <v>69</v>
      </c>
      <c r="E135" s="38" t="s">
        <v>8</v>
      </c>
      <c r="F135" s="40"/>
      <c r="G135" s="41">
        <f>257*0.89</f>
        <v>228.73</v>
      </c>
      <c r="H135" s="43">
        <f>F135*G135</f>
        <v>0</v>
      </c>
      <c r="J135" s="16"/>
    </row>
    <row r="136" spans="2:10" ht="22.5" hidden="1">
      <c r="B136" s="100" t="s">
        <v>321</v>
      </c>
      <c r="C136" s="38" t="s">
        <v>71</v>
      </c>
      <c r="D136" s="54" t="s">
        <v>72</v>
      </c>
      <c r="E136" s="38" t="s">
        <v>8</v>
      </c>
      <c r="F136" s="40"/>
      <c r="G136" s="41">
        <f>6.74*0.89</f>
        <v>5.9986000000000006</v>
      </c>
      <c r="H136" s="43">
        <f t="shared" ref="H136:H137" si="12">F136*G136</f>
        <v>0</v>
      </c>
      <c r="J136" s="16"/>
    </row>
    <row r="137" spans="2:10" ht="62.25" hidden="1" customHeight="1">
      <c r="B137" s="100" t="s">
        <v>322</v>
      </c>
      <c r="C137" s="38" t="s">
        <v>73</v>
      </c>
      <c r="D137" s="54" t="s">
        <v>74</v>
      </c>
      <c r="E137" s="38" t="s">
        <v>8</v>
      </c>
      <c r="F137" s="40"/>
      <c r="G137" s="41">
        <f>6.22*0.89</f>
        <v>5.5358000000000001</v>
      </c>
      <c r="H137" s="43">
        <f t="shared" si="12"/>
        <v>0</v>
      </c>
      <c r="J137" s="16"/>
    </row>
    <row r="138" spans="2:10" ht="15" hidden="1">
      <c r="B138" s="100" t="s">
        <v>323</v>
      </c>
      <c r="C138" s="38" t="s">
        <v>63</v>
      </c>
      <c r="D138" s="131" t="s">
        <v>64</v>
      </c>
      <c r="E138" s="38" t="s">
        <v>8</v>
      </c>
      <c r="F138" s="40"/>
      <c r="G138" s="41">
        <f>363.92*0.89</f>
        <v>323.8888</v>
      </c>
      <c r="H138" s="43">
        <f>F138*G138</f>
        <v>0</v>
      </c>
      <c r="J138" s="16"/>
    </row>
    <row r="139" spans="2:10" ht="33.75" hidden="1">
      <c r="B139" s="100" t="s">
        <v>324</v>
      </c>
      <c r="C139" s="38" t="s">
        <v>59</v>
      </c>
      <c r="D139" s="54" t="s">
        <v>60</v>
      </c>
      <c r="E139" s="38" t="s">
        <v>8</v>
      </c>
      <c r="F139" s="40"/>
      <c r="G139" s="41">
        <f>29.77*0.89</f>
        <v>26.4953</v>
      </c>
      <c r="H139" s="43">
        <f>F139*G139</f>
        <v>0</v>
      </c>
      <c r="J139" s="16"/>
    </row>
    <row r="140" spans="2:10" ht="33.75">
      <c r="B140" s="100" t="s">
        <v>327</v>
      </c>
      <c r="C140" s="38" t="s">
        <v>340</v>
      </c>
      <c r="D140" s="54" t="s">
        <v>326</v>
      </c>
      <c r="E140" s="38" t="s">
        <v>22</v>
      </c>
      <c r="F140" s="40">
        <v>300</v>
      </c>
      <c r="G140" s="41">
        <f>103.56*0.89</f>
        <v>92.168400000000005</v>
      </c>
      <c r="H140" s="43">
        <f t="shared" ref="H140" si="13">F140*G140</f>
        <v>27650.52</v>
      </c>
      <c r="J140" s="16"/>
    </row>
    <row r="141" spans="2:10" ht="22.5" hidden="1">
      <c r="B141" s="100" t="s">
        <v>328</v>
      </c>
      <c r="C141" s="38" t="s">
        <v>331</v>
      </c>
      <c r="D141" s="54" t="s">
        <v>332</v>
      </c>
      <c r="E141" s="38" t="s">
        <v>8</v>
      </c>
      <c r="F141" s="40"/>
      <c r="G141" s="41">
        <f>31.99*0.89</f>
        <v>28.4711</v>
      </c>
      <c r="H141" s="43">
        <f>F141*G141</f>
        <v>0</v>
      </c>
      <c r="J141" s="16"/>
    </row>
    <row r="142" spans="2:10" ht="45">
      <c r="B142" s="100" t="s">
        <v>329</v>
      </c>
      <c r="C142" s="38" t="s">
        <v>216</v>
      </c>
      <c r="D142" s="54" t="s">
        <v>339</v>
      </c>
      <c r="E142" s="38" t="s">
        <v>8</v>
      </c>
      <c r="F142" s="40">
        <v>1</v>
      </c>
      <c r="G142" s="41">
        <v>232714.09</v>
      </c>
      <c r="H142" s="43">
        <f>F142*G142</f>
        <v>232714.09</v>
      </c>
      <c r="J142" s="16"/>
    </row>
    <row r="143" spans="2:10" ht="22.5">
      <c r="B143" s="100" t="s">
        <v>330</v>
      </c>
      <c r="C143" s="38" t="s">
        <v>216</v>
      </c>
      <c r="D143" s="54" t="s">
        <v>337</v>
      </c>
      <c r="E143" s="38" t="s">
        <v>8</v>
      </c>
      <c r="F143" s="40">
        <v>1</v>
      </c>
      <c r="G143" s="41">
        <v>225000</v>
      </c>
      <c r="H143" s="43">
        <f t="shared" ref="H143:H145" si="14">F143*G143</f>
        <v>225000</v>
      </c>
      <c r="J143" s="16"/>
    </row>
    <row r="144" spans="2:10" ht="15">
      <c r="B144" s="100" t="s">
        <v>333</v>
      </c>
      <c r="C144" s="38" t="s">
        <v>216</v>
      </c>
      <c r="D144" s="54" t="s">
        <v>346</v>
      </c>
      <c r="E144" s="38" t="s">
        <v>8</v>
      </c>
      <c r="F144" s="40">
        <v>1</v>
      </c>
      <c r="G144" s="41">
        <f>(57000)*1.13</f>
        <v>64409.999999999993</v>
      </c>
      <c r="H144" s="43">
        <f t="shared" si="14"/>
        <v>64409.999999999993</v>
      </c>
      <c r="J144" s="138"/>
    </row>
    <row r="145" spans="2:11" ht="15.75" thickBot="1">
      <c r="B145" s="107" t="s">
        <v>334</v>
      </c>
      <c r="C145" s="50" t="s">
        <v>216</v>
      </c>
      <c r="D145" s="71" t="s">
        <v>338</v>
      </c>
      <c r="E145" s="50" t="s">
        <v>8</v>
      </c>
      <c r="F145" s="51">
        <v>1</v>
      </c>
      <c r="G145" s="52">
        <f>(28000+8500)*1.13</f>
        <v>41244.999999999993</v>
      </c>
      <c r="H145" s="43">
        <f t="shared" si="14"/>
        <v>41244.999999999993</v>
      </c>
      <c r="J145" s="138"/>
    </row>
    <row r="146" spans="2:11" ht="15.75" thickBot="1">
      <c r="B146" s="29" t="s">
        <v>28</v>
      </c>
      <c r="C146" s="233" t="s">
        <v>29</v>
      </c>
      <c r="D146" s="233"/>
      <c r="E146" s="30"/>
      <c r="F146" s="31"/>
      <c r="G146" s="32"/>
      <c r="H146" s="33">
        <f>SUM(H147:H148)</f>
        <v>0</v>
      </c>
    </row>
    <row r="147" spans="2:11" ht="22.5" hidden="1">
      <c r="B147" s="18" t="s">
        <v>236</v>
      </c>
      <c r="C147" s="19" t="s">
        <v>198</v>
      </c>
      <c r="D147" s="87" t="s">
        <v>199</v>
      </c>
      <c r="E147" s="57" t="s">
        <v>7</v>
      </c>
      <c r="F147" s="21"/>
      <c r="G147" s="22">
        <f>799.16</f>
        <v>799.16</v>
      </c>
      <c r="H147" s="23">
        <f>F147*G147</f>
        <v>0</v>
      </c>
      <c r="J147" s="16"/>
      <c r="K147" s="137"/>
    </row>
    <row r="148" spans="2:11" ht="15.75" hidden="1" thickBot="1">
      <c r="B148" s="44" t="s">
        <v>237</v>
      </c>
      <c r="C148" s="45" t="s">
        <v>216</v>
      </c>
      <c r="D148" s="56" t="s">
        <v>235</v>
      </c>
      <c r="E148" s="58" t="s">
        <v>7</v>
      </c>
      <c r="F148" s="46"/>
      <c r="G148" s="47">
        <v>40</v>
      </c>
      <c r="H148" s="48">
        <f>F148*G148</f>
        <v>0</v>
      </c>
      <c r="J148" s="16"/>
    </row>
    <row r="149" spans="2:11" ht="15.75" thickBot="1">
      <c r="B149" s="105" t="s">
        <v>30</v>
      </c>
      <c r="C149" s="245" t="s">
        <v>31</v>
      </c>
      <c r="D149" s="245"/>
      <c r="E149" s="101"/>
      <c r="F149" s="102"/>
      <c r="G149" s="103"/>
      <c r="H149" s="104">
        <f>SUM(H150:H157)</f>
        <v>0</v>
      </c>
    </row>
    <row r="150" spans="2:11" ht="33.75" hidden="1">
      <c r="B150" s="109" t="s">
        <v>186</v>
      </c>
      <c r="C150" s="110" t="s">
        <v>184</v>
      </c>
      <c r="D150" s="132" t="s">
        <v>185</v>
      </c>
      <c r="E150" s="110" t="s">
        <v>7</v>
      </c>
      <c r="F150" s="21"/>
      <c r="G150" s="22">
        <f>19.72*0.89</f>
        <v>17.550799999999999</v>
      </c>
      <c r="H150" s="23">
        <f>F150*G150</f>
        <v>0</v>
      </c>
    </row>
    <row r="151" spans="2:11" ht="33.75" hidden="1">
      <c r="B151" s="100" t="s">
        <v>187</v>
      </c>
      <c r="C151" s="112" t="s">
        <v>182</v>
      </c>
      <c r="D151" s="113" t="s">
        <v>183</v>
      </c>
      <c r="E151" s="112" t="s">
        <v>7</v>
      </c>
      <c r="F151" s="40"/>
      <c r="G151" s="41">
        <f>24.99*0.89</f>
        <v>22.241099999999999</v>
      </c>
      <c r="H151" s="43">
        <f t="shared" ref="H151:H156" si="15">F151*G151</f>
        <v>0</v>
      </c>
    </row>
    <row r="152" spans="2:11" ht="45" hidden="1">
      <c r="B152" s="100" t="s">
        <v>188</v>
      </c>
      <c r="C152" s="114" t="s">
        <v>195</v>
      </c>
      <c r="D152" s="133" t="s">
        <v>196</v>
      </c>
      <c r="E152" s="112" t="s">
        <v>7</v>
      </c>
      <c r="F152" s="40"/>
      <c r="G152" s="41">
        <f>33.32*0.89</f>
        <v>29.654800000000002</v>
      </c>
      <c r="H152" s="43">
        <f t="shared" si="15"/>
        <v>0</v>
      </c>
    </row>
    <row r="153" spans="2:11" ht="33.75" hidden="1">
      <c r="B153" s="100" t="s">
        <v>197</v>
      </c>
      <c r="C153" s="114" t="s">
        <v>193</v>
      </c>
      <c r="D153" s="54" t="s">
        <v>194</v>
      </c>
      <c r="E153" s="112" t="s">
        <v>7</v>
      </c>
      <c r="F153" s="40"/>
      <c r="G153" s="41">
        <f>35.12*0.89</f>
        <v>31.256799999999998</v>
      </c>
      <c r="H153" s="43">
        <f t="shared" si="15"/>
        <v>0</v>
      </c>
    </row>
    <row r="154" spans="2:11" ht="45" hidden="1">
      <c r="B154" s="100" t="s">
        <v>210</v>
      </c>
      <c r="C154" s="116" t="s">
        <v>213</v>
      </c>
      <c r="D154" s="117" t="s">
        <v>227</v>
      </c>
      <c r="E154" s="116" t="s">
        <v>208</v>
      </c>
      <c r="F154" s="40"/>
      <c r="G154" s="41">
        <f>4*0.89</f>
        <v>3.56</v>
      </c>
      <c r="H154" s="43">
        <f t="shared" si="15"/>
        <v>0</v>
      </c>
    </row>
    <row r="155" spans="2:11" ht="15" hidden="1">
      <c r="B155" s="100" t="s">
        <v>211</v>
      </c>
      <c r="C155" s="116" t="s">
        <v>214</v>
      </c>
      <c r="D155" s="117" t="s">
        <v>209</v>
      </c>
      <c r="E155" s="116" t="s">
        <v>7</v>
      </c>
      <c r="F155" s="40"/>
      <c r="G155" s="41">
        <f>5.96*0.89</f>
        <v>5.3044000000000002</v>
      </c>
      <c r="H155" s="43">
        <f t="shared" si="15"/>
        <v>0</v>
      </c>
    </row>
    <row r="156" spans="2:11" ht="22.5" hidden="1">
      <c r="B156" s="100" t="s">
        <v>212</v>
      </c>
      <c r="C156" s="116" t="s">
        <v>215</v>
      </c>
      <c r="D156" s="117" t="s">
        <v>229</v>
      </c>
      <c r="E156" s="116" t="s">
        <v>7</v>
      </c>
      <c r="F156" s="40"/>
      <c r="G156" s="41">
        <f>2.61*0.89</f>
        <v>2.3228999999999997</v>
      </c>
      <c r="H156" s="43">
        <f t="shared" si="15"/>
        <v>0</v>
      </c>
    </row>
    <row r="157" spans="2:11" hidden="1" thickBot="1">
      <c r="B157" s="107" t="s">
        <v>228</v>
      </c>
      <c r="C157" s="129" t="s">
        <v>233</v>
      </c>
      <c r="D157" s="128" t="s">
        <v>234</v>
      </c>
      <c r="E157" s="130" t="s">
        <v>7</v>
      </c>
      <c r="F157" s="51"/>
      <c r="G157" s="52">
        <f>17.16*0.89</f>
        <v>15.272400000000001</v>
      </c>
      <c r="H157" s="53">
        <f>F157*G157</f>
        <v>0</v>
      </c>
    </row>
    <row r="158" spans="2:11" ht="15.75" thickBot="1">
      <c r="B158" s="29" t="s">
        <v>32</v>
      </c>
      <c r="C158" s="233" t="s">
        <v>33</v>
      </c>
      <c r="D158" s="233"/>
      <c r="E158" s="30"/>
      <c r="F158" s="31"/>
      <c r="G158" s="32"/>
      <c r="H158" s="28">
        <f>SUM(H159:H161)</f>
        <v>0</v>
      </c>
    </row>
    <row r="159" spans="2:11" ht="22.5" hidden="1">
      <c r="B159" s="162" t="s">
        <v>206</v>
      </c>
      <c r="C159" s="152" t="s">
        <v>357</v>
      </c>
      <c r="D159" s="153" t="s">
        <v>351</v>
      </c>
      <c r="E159" s="154" t="s">
        <v>22</v>
      </c>
      <c r="F159" s="155"/>
      <c r="G159" s="155">
        <v>34</v>
      </c>
      <c r="H159" s="41"/>
    </row>
    <row r="160" spans="2:11" ht="22.5" hidden="1">
      <c r="B160" s="162" t="s">
        <v>352</v>
      </c>
      <c r="C160" s="152" t="s">
        <v>358</v>
      </c>
      <c r="D160" s="153" t="s">
        <v>350</v>
      </c>
      <c r="E160" s="154" t="s">
        <v>17</v>
      </c>
      <c r="F160" s="155"/>
      <c r="G160" s="155">
        <v>9.58</v>
      </c>
      <c r="H160" s="41"/>
    </row>
    <row r="161" spans="2:11" ht="45.75" hidden="1" thickBot="1">
      <c r="B161" s="162" t="s">
        <v>353</v>
      </c>
      <c r="C161" s="111" t="s">
        <v>207</v>
      </c>
      <c r="D161" s="56" t="s">
        <v>223</v>
      </c>
      <c r="E161" s="111" t="s">
        <v>7</v>
      </c>
      <c r="F161" s="46"/>
      <c r="G161" s="47">
        <f>45.46*0.89</f>
        <v>40.459400000000002</v>
      </c>
      <c r="H161" s="41">
        <f>F161*G161</f>
        <v>0</v>
      </c>
    </row>
    <row r="162" spans="2:11" ht="15.75" thickBot="1">
      <c r="B162" s="24" t="s">
        <v>34</v>
      </c>
      <c r="C162" s="234" t="s">
        <v>35</v>
      </c>
      <c r="D162" s="234"/>
      <c r="E162" s="25"/>
      <c r="F162" s="26"/>
      <c r="G162" s="27"/>
      <c r="H162" s="104">
        <f>SUM(H163:H165)</f>
        <v>0</v>
      </c>
    </row>
    <row r="163" spans="2:11" ht="22.5" hidden="1">
      <c r="B163" s="109" t="s">
        <v>224</v>
      </c>
      <c r="C163" s="110" t="s">
        <v>189</v>
      </c>
      <c r="D163" s="87" t="s">
        <v>190</v>
      </c>
      <c r="E163" s="110" t="s">
        <v>22</v>
      </c>
      <c r="F163" s="21"/>
      <c r="G163" s="22">
        <f>100.23*0.89</f>
        <v>89.204700000000003</v>
      </c>
      <c r="H163" s="23">
        <f>F163*G163</f>
        <v>0</v>
      </c>
    </row>
    <row r="164" spans="2:11" ht="15" hidden="1">
      <c r="B164" s="100" t="s">
        <v>225</v>
      </c>
      <c r="C164" s="38" t="s">
        <v>202</v>
      </c>
      <c r="D164" s="120" t="s">
        <v>203</v>
      </c>
      <c r="E164" s="116" t="s">
        <v>8</v>
      </c>
      <c r="F164" s="123"/>
      <c r="G164" s="41">
        <f>30.71*0.89</f>
        <v>27.331900000000001</v>
      </c>
      <c r="H164" s="43">
        <f t="shared" ref="H164:H165" si="16">F164*G164</f>
        <v>0</v>
      </c>
    </row>
    <row r="165" spans="2:11" hidden="1" thickBot="1">
      <c r="B165" s="108" t="s">
        <v>226</v>
      </c>
      <c r="C165" s="45" t="s">
        <v>200</v>
      </c>
      <c r="D165" s="56" t="s">
        <v>201</v>
      </c>
      <c r="E165" s="111" t="s">
        <v>22</v>
      </c>
      <c r="F165" s="46"/>
      <c r="G165" s="47">
        <f>99.34*0.89</f>
        <v>88.412599999999998</v>
      </c>
      <c r="H165" s="48">
        <f t="shared" si="16"/>
        <v>0</v>
      </c>
      <c r="J165" s="13"/>
    </row>
    <row r="166" spans="2:11" ht="15.75" thickBot="1">
      <c r="B166" s="29" t="s">
        <v>36</v>
      </c>
      <c r="C166" s="233" t="s">
        <v>37</v>
      </c>
      <c r="D166" s="233"/>
      <c r="E166" s="30"/>
      <c r="F166" s="31"/>
      <c r="G166" s="32"/>
      <c r="H166" s="33">
        <f>SUM(H167:H167)</f>
        <v>0</v>
      </c>
      <c r="J166" s="13"/>
    </row>
    <row r="167" spans="2:11" ht="57" hidden="1" thickBot="1">
      <c r="B167" s="125" t="s">
        <v>231</v>
      </c>
      <c r="C167" s="126" t="s">
        <v>230</v>
      </c>
      <c r="D167" s="127" t="s">
        <v>232</v>
      </c>
      <c r="E167" s="126" t="s">
        <v>22</v>
      </c>
      <c r="F167" s="70"/>
      <c r="G167" s="124">
        <f>531.36*0.89</f>
        <v>472.91040000000004</v>
      </c>
      <c r="H167" s="67">
        <f>F167*G167</f>
        <v>0</v>
      </c>
      <c r="J167" s="13"/>
    </row>
    <row r="168" spans="2:11" ht="15.75" thickBot="1">
      <c r="B168" s="246"/>
      <c r="C168" s="247"/>
      <c r="D168" s="247"/>
      <c r="E168" s="247"/>
      <c r="F168" s="247"/>
      <c r="G168" s="34" t="s">
        <v>38</v>
      </c>
      <c r="H168" s="35">
        <f>H84+H166</f>
        <v>803326.77899999998</v>
      </c>
      <c r="J168" s="13"/>
      <c r="K168" s="13"/>
    </row>
    <row r="169" spans="2:11" ht="15.75" thickBot="1">
      <c r="B169" s="239"/>
      <c r="C169" s="240"/>
      <c r="D169" s="240"/>
      <c r="E169" s="240"/>
      <c r="F169" s="240"/>
      <c r="G169" s="218" t="s">
        <v>378</v>
      </c>
      <c r="H169" s="36">
        <f>H168*0.1558</f>
        <v>125158.31216819999</v>
      </c>
    </row>
    <row r="170" spans="2:11" ht="15.75" thickBot="1">
      <c r="B170" s="241"/>
      <c r="C170" s="242"/>
      <c r="D170" s="242"/>
      <c r="E170" s="242"/>
      <c r="F170" s="242"/>
      <c r="G170" s="37" t="s">
        <v>40</v>
      </c>
      <c r="H170" s="35">
        <f>H168+H169</f>
        <v>928485.09116820002</v>
      </c>
    </row>
    <row r="173" spans="2:11" ht="15">
      <c r="C173" s="14"/>
      <c r="D173" s="15"/>
      <c r="E173" s="115"/>
    </row>
  </sheetData>
  <mergeCells count="26">
    <mergeCell ref="C77:D77"/>
    <mergeCell ref="C2:H2"/>
    <mergeCell ref="C3:H3"/>
    <mergeCell ref="C4:H4"/>
    <mergeCell ref="B6:H6"/>
    <mergeCell ref="B7:H7"/>
    <mergeCell ref="B9:B10"/>
    <mergeCell ref="C9:C10"/>
    <mergeCell ref="D9:D10"/>
    <mergeCell ref="E9:E10"/>
    <mergeCell ref="F9:F10"/>
    <mergeCell ref="G9:G10"/>
    <mergeCell ref="H9:H10"/>
    <mergeCell ref="C12:D12"/>
    <mergeCell ref="C16:D16"/>
    <mergeCell ref="C18:D18"/>
    <mergeCell ref="C166:D166"/>
    <mergeCell ref="B168:F168"/>
    <mergeCell ref="B169:F169"/>
    <mergeCell ref="B170:F170"/>
    <mergeCell ref="C81:D81"/>
    <mergeCell ref="C84:D84"/>
    <mergeCell ref="C146:D146"/>
    <mergeCell ref="C149:D149"/>
    <mergeCell ref="C158:D158"/>
    <mergeCell ref="C162:D162"/>
  </mergeCells>
  <pageMargins left="0.51181102362204722" right="0.31496062992125984" top="0.59055118110236227" bottom="0.78740157480314965" header="0.31496062992125984" footer="0.31496062992125984"/>
  <pageSetup paperSize="9" scale="80" orientation="landscape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crono</vt:lpstr>
      <vt:lpstr>civil</vt:lpstr>
      <vt:lpstr>EQUIP SEM GER.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LuizaFrossard</dc:creator>
  <cp:lastModifiedBy>hp</cp:lastModifiedBy>
  <cp:lastPrinted>2020-02-21T14:08:56Z</cp:lastPrinted>
  <dcterms:created xsi:type="dcterms:W3CDTF">2019-02-04T15:44:22Z</dcterms:created>
  <dcterms:modified xsi:type="dcterms:W3CDTF">2020-06-17T19:53:31Z</dcterms:modified>
</cp:coreProperties>
</file>